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49" activeTab="1"/>
  </bookViews>
  <sheets>
    <sheet name="Zał1" sheetId="1" r:id="rId1"/>
    <sheet name="Zał2" sheetId="2" r:id="rId2"/>
    <sheet name="Zał3" sheetId="3" r:id="rId3"/>
    <sheet name="Zał5" sheetId="4" r:id="rId4"/>
    <sheet name="Zał6" sheetId="5" r:id="rId5"/>
    <sheet name="Zał7" sheetId="6" r:id="rId6"/>
    <sheet name="Zał8" sheetId="7" r:id="rId7"/>
    <sheet name="Zał4" sheetId="8" r:id="rId8"/>
    <sheet name="Zał 10-1" sheetId="9" r:id="rId9"/>
    <sheet name="Zał 10-2" sheetId="10" r:id="rId10"/>
    <sheet name="Zał 10-3" sheetId="11" r:id="rId11"/>
    <sheet name="Zał 10-4" sheetId="12" r:id="rId12"/>
    <sheet name="Zał 10-5" sheetId="13" r:id="rId13"/>
  </sheets>
  <definedNames/>
  <calcPr fullCalcOnLoad="1"/>
</workbook>
</file>

<file path=xl/sharedStrings.xml><?xml version="1.0" encoding="utf-8"?>
<sst xmlns="http://schemas.openxmlformats.org/spreadsheetml/2006/main" count="809" uniqueCount="404">
  <si>
    <t>Wyszczególnienie</t>
  </si>
  <si>
    <t>GOSPODARKA MIESZKANIOWA</t>
  </si>
  <si>
    <t>ADMINISTRACJA PUBLICZNA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</si>
  <si>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</si>
  <si>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</si>
  <si>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</si>
  <si>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</si>
  <si>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OŚWIATA I WYCHOWANIE</t>
  </si>
  <si>
    <t>POMOC SPOŁECZNA</t>
  </si>
  <si>
    <t>GOSPODARKA KOMUNALNA I OCHRONA ŚRODOWISKA</t>
  </si>
  <si>
    <t>KULTURA FIZYCZNA I SPORT</t>
  </si>
  <si>
    <t>Kwota zł</t>
  </si>
  <si>
    <t>Dział</t>
  </si>
  <si>
    <t>WYDATKI</t>
  </si>
  <si>
    <t>a) wydatki bieżące, w tym:</t>
  </si>
  <si>
    <t>- wynagrodzenia i pochodne od wynagrodzeń</t>
  </si>
  <si>
    <t>a) wydatki bieżące</t>
  </si>
  <si>
    <t>OPIEKA SPOŁECZNA</t>
  </si>
  <si>
    <t>Składki na ubezpieczenia zdrowotne opłacane za osoby pobierające niektóre świadczenia z pomocy społecznej</t>
  </si>
  <si>
    <t>Zasiłki i pomoc w naturze oraz składki na ubezpieczenia społeczne</t>
  </si>
  <si>
    <t>Ośrodki pomocy społecznej</t>
  </si>
  <si>
    <t>a) wydatki majątkowe</t>
  </si>
  <si>
    <t>Izby rolnicze</t>
  </si>
  <si>
    <t>Pozostała działalność</t>
  </si>
  <si>
    <t>TRANSPORT I ŁĄCZNOŚĆ</t>
  </si>
  <si>
    <t>Drogi publiczne gminne</t>
  </si>
  <si>
    <t>Gospodarka gruntami i nieruchomościami</t>
  </si>
  <si>
    <t>DZIAŁALNOŚĆ USŁUGOWA</t>
  </si>
  <si>
    <t>Plany zagospodarowania przestrzennego</t>
  </si>
  <si>
    <t>Cmentarze</t>
  </si>
  <si>
    <t>Urzędy Wojewódzkie</t>
  </si>
  <si>
    <t>Rady gmin</t>
  </si>
  <si>
    <t>Urzędy gmin</t>
  </si>
  <si>
    <t>Ochotnicze straże pożarne</t>
  </si>
  <si>
    <t>Pobór podatków, opłat i niepodatkowych należności budżetowych</t>
  </si>
  <si>
    <t>OBSŁUGA DŁUGU PUBLICZNEGO</t>
  </si>
  <si>
    <t>RÓŻNE ROZLICZENIA</t>
  </si>
  <si>
    <t>Rezerwy ogólne i celowe</t>
  </si>
  <si>
    <t xml:space="preserve">Rezerwy </t>
  </si>
  <si>
    <t>Szkoły podstawowe</t>
  </si>
  <si>
    <t>Przedszkola</t>
  </si>
  <si>
    <t>Gimnazja</t>
  </si>
  <si>
    <t>Dowożenie uczniów do szkół</t>
  </si>
  <si>
    <t>Dokształcanie i doskonalenie zawodowe nauczycieli</t>
  </si>
  <si>
    <t>OCHRONA ZDROWIA</t>
  </si>
  <si>
    <t>Zwalczanie narkomanii</t>
  </si>
  <si>
    <t>Przeciwdziałanie alkoholizmowi</t>
  </si>
  <si>
    <t>Dodatki mieszkaniowe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</si>
  <si>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</si>
  <si>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</si>
  <si>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</si>
  <si>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</si>
  <si>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</si>
  <si>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Oświetlenie ulic, placów, dróg</t>
  </si>
  <si>
    <t>KULTURA I OCHRONA DZIEDZICTWA NARODOWEGO</t>
  </si>
  <si>
    <t>Domy i ośrodki kultury, świetlice i kluby</t>
  </si>
  <si>
    <t>Biblioteki</t>
  </si>
  <si>
    <t>Instytucje kultury fizycznej</t>
  </si>
  <si>
    <t>Zadania w zakresie kultury fizycznej i sportu</t>
  </si>
  <si>
    <t>Klasyfikacja</t>
  </si>
  <si>
    <t>010</t>
  </si>
  <si>
    <t>01030</t>
  </si>
  <si>
    <t>01095</t>
  </si>
  <si>
    <t>b) wydatki majątkowe</t>
  </si>
  <si>
    <t>- dotacje</t>
  </si>
  <si>
    <t>Obsługa papierów wartościowych, kredytów i pożyczek jednostek samorządu terytorialnego</t>
  </si>
  <si>
    <t>- obsługa długu jednostek samorządu terytorialnego</t>
  </si>
  <si>
    <t>- rezerwa ogólna</t>
  </si>
  <si>
    <t>Rozdział</t>
  </si>
  <si>
    <t>Przychody</t>
  </si>
  <si>
    <t>Miejski Zakład Wodociągów i Kanalizacji</t>
  </si>
  <si>
    <t>Oczyszczalnia Ścieków</t>
  </si>
  <si>
    <t>Miejski Zakład Usług Komunalnych</t>
  </si>
  <si>
    <t>Miejski Zakład Budynków Mieszkalnych</t>
  </si>
  <si>
    <t>80104</t>
  </si>
  <si>
    <t>Lp.</t>
  </si>
  <si>
    <t>Stan funduszu na początek roku</t>
  </si>
  <si>
    <t>II.</t>
  </si>
  <si>
    <t>I.</t>
  </si>
  <si>
    <t>PRZYCHODY</t>
  </si>
  <si>
    <t>1.</t>
  </si>
  <si>
    <t>2.</t>
  </si>
  <si>
    <t>Wpływy z tytułu kar i opłat za usuwanie drzew i krzewów</t>
  </si>
  <si>
    <t>3.</t>
  </si>
  <si>
    <t>Ogółem</t>
  </si>
  <si>
    <t>III.</t>
  </si>
  <si>
    <t>Edukacja ekologiczna oraz propagowanie działań proekologicznych i zasady zrównoważonego rozwoju</t>
  </si>
  <si>
    <t>Wspomaganie systemów kontrolno - pomiarowych stanu środowiska</t>
  </si>
  <si>
    <t>4.</t>
  </si>
  <si>
    <t>Urządzenie i utrzymywanie terenów zieleni</t>
  </si>
  <si>
    <t>5.</t>
  </si>
  <si>
    <t>Inne zadania służące ochronie środowiska</t>
  </si>
  <si>
    <t>IV.</t>
  </si>
  <si>
    <t>Stan funduszu na koniec roku</t>
  </si>
  <si>
    <t>Kanalizacja sanitarna Kąty</t>
  </si>
  <si>
    <t>Kanalizacja sanitarna Podzwierzyniec</t>
  </si>
  <si>
    <t>75647</t>
  </si>
  <si>
    <t>PRZYCHODY I WYDATKI ZAKŁADÓW BUDŻETOWYCH W 2005 R</t>
  </si>
  <si>
    <t>WYDATKI NA REALIZACJĘ INWESTCJI W 2005 R</t>
  </si>
  <si>
    <t xml:space="preserve">Plan 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</si>
  <si>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</si>
  <si>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nabycia prawa własności nieruchomości</t>
  </si>
  <si>
    <t>dotacje celowe otrzymane z budżetu państwa na realizację zadań bieżących z zakresu administracji rządowej oraz innych zadań zleconych gminie ustawami</t>
  </si>
  <si>
    <t>wpływy z różnych dochodów</t>
  </si>
  <si>
    <t>dotacje celowe otrzymane z budżetu państwa na inwestycje i zakupy inwestycyjne z zakresu administracji rządowej oraz innych zadań zleconych gminie ustawami</t>
  </si>
  <si>
    <t>podatek od działalności gospodarczej osób fizycznych, opłacany w formie karty podatkowej</t>
  </si>
  <si>
    <t>podatek rolny</t>
  </si>
  <si>
    <t>podatek od środków transportowych</t>
  </si>
  <si>
    <t>podatek od spadków i darowizn</t>
  </si>
  <si>
    <t>podatek od posiadania psów</t>
  </si>
  <si>
    <t>wpływy z opłaty targowej</t>
  </si>
  <si>
    <t xml:space="preserve">wpływy z opłaty administracyjnej za czynności urzędowe </t>
  </si>
  <si>
    <t>podatek od czynności cywilnoprawnych</t>
  </si>
  <si>
    <t>wpływy z opłaty skarbowej</t>
  </si>
  <si>
    <t>wpływy z opłat za zezwolenia na sprzedaż alkoholu</t>
  </si>
  <si>
    <t>udziały we wpływach z podatku dochodowego od osób fizycznych</t>
  </si>
  <si>
    <t>udziały we wpływach z podatku dochodowego od osób prawnych</t>
  </si>
  <si>
    <t>dotacje celowe otrzymane z budżetu państwa na realizację własnych zadań bieżących gmin</t>
  </si>
  <si>
    <t>środki na dofinansowanie własnych inwestycji gmin, powiatów, samorządów województw pozyskane z innych źródeł</t>
  </si>
  <si>
    <t>wpływy z odpłatności za żywienie uczniów w szkołach</t>
  </si>
  <si>
    <t>wpływy z odpłatności za usługi opiekuńcze</t>
  </si>
  <si>
    <t>wpływy z odpłatności za żywienie uczniów w przedszkolach</t>
  </si>
  <si>
    <t>WYTWARZANIE I ZAOPATRYWANIE W ENERGIĘ, GAZ I WODĘ</t>
  </si>
  <si>
    <t>Przebudowa Stacji Uzdatniania Wody w Woli Małej</t>
  </si>
  <si>
    <t>Projekt techniczny wodociągu do ul. Ogrodowej</t>
  </si>
  <si>
    <t>TRANSPORT</t>
  </si>
  <si>
    <t>Projekt techniczny kanalizacja deszczowa ul. Zubrzyckiego</t>
  </si>
  <si>
    <t>Projekt techniczny modernizacji ul. K. Wielkiego</t>
  </si>
  <si>
    <t>Projekt techniczny przebudowy budynku na mieszkania socjalne - ul. Kościuszki 20</t>
  </si>
  <si>
    <t>Zakup sprzętu komputerowego</t>
  </si>
  <si>
    <t>Zakup zestawu łączności - zadania zlecone</t>
  </si>
  <si>
    <t>Wyposażenie hali sportowej</t>
  </si>
  <si>
    <t>Kanalizacja sanitarna dzielnicy Płd-Wsch, ul. Kościuszki</t>
  </si>
  <si>
    <t>Kanalizacja sanitarna Przedmieście - Grabskie</t>
  </si>
  <si>
    <t>Projekty techniczne kanalizacji sanitarnej</t>
  </si>
  <si>
    <t>Wykonanie oświetlenia ul. Kwiatowa, A. Krajowej, 10-PSK, 29- Listopada, Sowińskiego, Polna</t>
  </si>
  <si>
    <t>Projekt oświetlenia ulicznego  ul. Wąska, Sienkiewicza, Kąty, Mościckiego</t>
  </si>
  <si>
    <t>Projekt techniczny  pawilonów na Placu Targowym</t>
  </si>
  <si>
    <t>Hala sportowa i basen</t>
  </si>
  <si>
    <t xml:space="preserve">DOCHODY I WYDATKI ZWIĄZANE Z REALIZACJĄ ZADAŃ Z ZAKRESU ADMINISTRACJI RZĄDOWEJ ZLECONYCH GMINIE  W 2005 R </t>
  </si>
  <si>
    <t xml:space="preserve">Dotacje celowe otrzymane z budżetu państwa na realizację zadań bieżących z zakresu administracji rządowej oraz innych zadań zleconych gminie ustawami </t>
  </si>
  <si>
    <t>Dotacje celowe otrzymane z budżetu państwa na realizację zadań bieżących z zakresu administracji rządowej oraz innych zadań zleconych gminie ustawami</t>
  </si>
  <si>
    <t>Dotacje celowe otrzymane z budżetu państwa na inwestycje i zakupy inwestycyjne z zakresu administracji rządowej oraz innych zadań zleconych gminie ustawami</t>
  </si>
  <si>
    <t xml:space="preserve">OGÓŁEM </t>
  </si>
  <si>
    <t>Urzędy wojewódzkie</t>
  </si>
  <si>
    <t>URZĘDYNACZELNYCH ORGANÓW WŁADZY PAŃSTWOWEJ, KONTROLI I OCHRONY PRAWA ORAZ SĄDOWNICTWA</t>
  </si>
  <si>
    <t>Budowa kanalizacji burzowej ul. Przybosia i Zamkniętej</t>
  </si>
  <si>
    <t>400</t>
  </si>
  <si>
    <t>40002</t>
  </si>
  <si>
    <t>Dostarczanie wody</t>
  </si>
  <si>
    <t>80145</t>
  </si>
  <si>
    <t>Komisje egzaminacyjne</t>
  </si>
  <si>
    <t>85212</t>
  </si>
  <si>
    <t>Świadczenia rodzinne oraz składki na ubezpieczenia emerytalne i rentowe z ubezpieczenia społecznego</t>
  </si>
  <si>
    <t>854</t>
  </si>
  <si>
    <t>Pozostałe zadania w zakresie kultury</t>
  </si>
  <si>
    <t>853</t>
  </si>
  <si>
    <t>POZOSTAŁE ZADANIA W ZAKRESIE POLITYKI SPOŁECZNEJ</t>
  </si>
  <si>
    <t>85395</t>
  </si>
  <si>
    <t>Agregat prądotwórczy</t>
  </si>
  <si>
    <t>Zakup sprzętu komputerowego oraz wyposażenia Gminnego Centrum Informacji</t>
  </si>
  <si>
    <t>wpływy z opłat za zajęcie pasa drogowego</t>
  </si>
  <si>
    <t>Modernizacja kotłowni budynku ul. Traugutta 20 oraz remont bazy</t>
  </si>
  <si>
    <t>Plan po zmianach</t>
  </si>
  <si>
    <t>Wykonanie</t>
  </si>
  <si>
    <t>kwota zł</t>
  </si>
  <si>
    <t>%</t>
  </si>
  <si>
    <t>Plan</t>
  </si>
  <si>
    <t xml:space="preserve">Klasyfikacja </t>
  </si>
  <si>
    <t xml:space="preserve">Nazwa zadania </t>
  </si>
  <si>
    <t xml:space="preserve">Plan po zmianach </t>
  </si>
  <si>
    <t xml:space="preserve">Wykonanie </t>
  </si>
  <si>
    <t xml:space="preserve">Świadczenia rodzinne oraz składki na ubezpieczenia emerytalne i rentowe z ubezpieczenia społecznego </t>
  </si>
  <si>
    <t xml:space="preserve">5% dochodów uzyskiwanych na rzecz budżetu państwa w związku z realizacją zadań z zakresu administracji rządowej </t>
  </si>
  <si>
    <t>wpłaty zaległości zahipotekowanych</t>
  </si>
  <si>
    <t>70005</t>
  </si>
  <si>
    <t>75011</t>
  </si>
  <si>
    <t>75023</t>
  </si>
  <si>
    <t>75101</t>
  </si>
  <si>
    <t>75414</t>
  </si>
  <si>
    <t>75601</t>
  </si>
  <si>
    <t>Wpływy z podatku dochodowego od osób fizycznych</t>
  </si>
  <si>
    <t>75615</t>
  </si>
  <si>
    <t>75616</t>
  </si>
  <si>
    <t>podatek od nieruchomości</t>
  </si>
  <si>
    <t xml:space="preserve">podatek od nieruchomości </t>
  </si>
  <si>
    <t xml:space="preserve">podatek od środków transportowych </t>
  </si>
  <si>
    <t>75618</t>
  </si>
  <si>
    <t>75619</t>
  </si>
  <si>
    <t>Wpływy z różnych rozliczeń</t>
  </si>
  <si>
    <t>75621</t>
  </si>
  <si>
    <t>75801</t>
  </si>
  <si>
    <t>subwencje ogólne z budżetu państwa</t>
  </si>
  <si>
    <t>75814</t>
  </si>
  <si>
    <t>Różne rozliczenia finansowe</t>
  </si>
  <si>
    <t>Część równoważąca subwencji ogólnej dla gmin</t>
  </si>
  <si>
    <t>75831</t>
  </si>
  <si>
    <t xml:space="preserve">Pozostała działalność </t>
  </si>
  <si>
    <t>85401</t>
  </si>
  <si>
    <t>85415</t>
  </si>
  <si>
    <t>Pomoc materialna dla uczniów</t>
  </si>
  <si>
    <t>90001</t>
  </si>
  <si>
    <t>90002</t>
  </si>
  <si>
    <t>Gospodarka odpadami</t>
  </si>
  <si>
    <t>90017</t>
  </si>
  <si>
    <t>Zakłady Gospodarki Komunalnej</t>
  </si>
  <si>
    <t>Wpływy z opłaty produktowej</t>
  </si>
  <si>
    <t>92604</t>
  </si>
  <si>
    <t>80101</t>
  </si>
  <si>
    <t>80110</t>
  </si>
  <si>
    <t xml:space="preserve">wpływy z opłaty stałej  </t>
  </si>
  <si>
    <t>80195</t>
  </si>
  <si>
    <t>85213</t>
  </si>
  <si>
    <t>Składki na ubezpieczenie zdrowotne opłacane za osoby pobierające niektóre świadczenia z pomocy społecznej oraz niektóre świadczenia rodzinne</t>
  </si>
  <si>
    <t>85214</t>
  </si>
  <si>
    <t>85219</t>
  </si>
  <si>
    <t>85228</t>
  </si>
  <si>
    <t>85295</t>
  </si>
  <si>
    <t xml:space="preserve">Urzędy naczelnych organów władzy państwowej, kontroli i ochrony prawa </t>
  </si>
  <si>
    <t>Wpływy z innych opłat stanowiących dochody jednostek samorządu terytorialnego na podstawie ustaw</t>
  </si>
  <si>
    <t>Udziały gmin w podatkach stanowiących dochód budżetu państwa</t>
  </si>
  <si>
    <t>Zasiłki i pomoc w naturze oraz składki na ubezpieczenia emerytalne i rentowe</t>
  </si>
  <si>
    <t>Usługi opiekuńcze i specjalistyczne usługi opiekuńcze</t>
  </si>
  <si>
    <t>wpływy z opłat za zarząd, użytkowanie i użytkowanie wieczyste nieruchomości</t>
  </si>
  <si>
    <t xml:space="preserve">dotacje celowe otrzymane z budżetu państwa na realizację własnych zadań bieżących gmin </t>
  </si>
  <si>
    <t>75411</t>
  </si>
  <si>
    <t>Komendy Powiatowe Państwowej Straży Pożarnej</t>
  </si>
  <si>
    <t>85195</t>
  </si>
  <si>
    <t xml:space="preserve">Pomoc materialna dla uczniów </t>
  </si>
  <si>
    <t>- stypendia dla uczniów</t>
  </si>
  <si>
    <t>921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</si>
  <si>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</si>
  <si>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 podatku od spadków i darowizn, podatku od czynności cywilnoprawnych oraz podatków i opłat lokalnych od osób fizycznych </t>
  </si>
  <si>
    <t>wpływy z opłaty administracyjnej za czynności urzędowe</t>
  </si>
  <si>
    <t>Część oświatowa subwencji ogólnej dla jednostek samorządu terytorialnego</t>
  </si>
  <si>
    <t>dotacje na dofinansowanie kosztów utworzenia Gminnego Centrum Informacji realizowanego w ramach Programu Aktywizacji Zawodowej Absolwentów  "Pierwsza Praca"</t>
  </si>
  <si>
    <t>DOCHODY</t>
  </si>
  <si>
    <t>Stan zobowiązań na dzień 31.12.2005</t>
  </si>
  <si>
    <t>Rozchody</t>
  </si>
  <si>
    <t>Stan zobowiązań na dzień 1.01.2005</t>
  </si>
  <si>
    <t>PRZYCHODY I ROZCHODY BUDŻETU W 2005 R</t>
  </si>
  <si>
    <t>Bank Ochrony Środowiska Rzeszów S.A. Umowa Nr 22/2003</t>
  </si>
  <si>
    <t>Wojewódzki Fundusz Ochrony Środowiska i Gospodarki Wodnej S.A. Umowa Nr 85/01/R/P</t>
  </si>
  <si>
    <t>Wojewódzki Fundusz Ochrony Środowiska i Gospodarki Wodnej S.A. Umowa Nr 101/03/R/P</t>
  </si>
  <si>
    <t>Wojewódzki Fundusz Ochrony Środowiska i Gospodarki Wodnej S.A. Umowa Nr 100/03/R/P</t>
  </si>
  <si>
    <t>Wojewódzki Fundusz Ochrony Środowiska i Gospodarki Wodnej S.A. Umowa Nr 112/03/R/P</t>
  </si>
  <si>
    <t>Wojewódzki Fundusz Ochrony Środowiska i Gospodarki Wodnej S.A. Umowa Nr 75/2004/OW/R/P</t>
  </si>
  <si>
    <t>Razem pożyczki i kredyty</t>
  </si>
  <si>
    <t>Realizowanie zadań modernizacyjnych i inwestycyjnych, służących ochronie środowiska i gospodarki wodnej</t>
  </si>
  <si>
    <t>Bank Gospodarki Żywnościowej O/Regionalny Rzeszów Umowa Nr 54/KR/654/02/I/K/KK</t>
  </si>
  <si>
    <t xml:space="preserve">INVEST - BANK S.A. Rzeszów Umowa Nr 22/2003 </t>
  </si>
  <si>
    <t>Koszty i inne obciążenia</t>
  </si>
  <si>
    <t>Stan środków obrotowych na początek roku</t>
  </si>
  <si>
    <t>Stan środków obrotowych na koniec roku</t>
  </si>
  <si>
    <t>DOCHODY OD OSÓB PRAWNYCH, OD OSÓB FIZYCZNYCH I OD INNYCH JEDNOSTEK NIEPOSIADAJĄCYCH OSOBOWOŚCI PRAWNEJ ORAZ  WYDATKI ZWIĄZANE Z ICH POBOREM</t>
  </si>
  <si>
    <t>Zmiany</t>
  </si>
  <si>
    <t xml:space="preserve">ROLNICTWO </t>
  </si>
  <si>
    <t>0</t>
  </si>
  <si>
    <t>75107</t>
  </si>
  <si>
    <t>75108</t>
  </si>
  <si>
    <t>Wybory do Sejmu i Senatu</t>
  </si>
  <si>
    <t>90003</t>
  </si>
  <si>
    <t>WYTWARZANIE I ZAOPATRYWANIE W ENERGIĘ ELEKTRYCZNĄ, GAZ I WODĘ</t>
  </si>
  <si>
    <t>710</t>
  </si>
  <si>
    <t>71035</t>
  </si>
  <si>
    <t>dotacje celowe otrzymane z budżetu państwa na zadania bieżące realizowane przez gminę na podstawie porozumień z organami administracji rządowej</t>
  </si>
  <si>
    <t>Wybory Prezydenta Rzeczypospolitej Polskiej</t>
  </si>
  <si>
    <t xml:space="preserve">dotacje celowe otrzymane z budżetu państwa na realizację inwestycji i zakupów inwestycyjnych własnych gmin </t>
  </si>
  <si>
    <t>środki na dofinansowanie własnych inwestycji gmin, powiatów, samorządów województw, pozyskane z innych źródeł</t>
  </si>
  <si>
    <t>90095</t>
  </si>
  <si>
    <t xml:space="preserve">dotacje otrzymane z funduszy celowych na realizację zadań bieżących jednostek sektora finansów publicznych </t>
  </si>
  <si>
    <t>92116</t>
  </si>
  <si>
    <t>Nazwa zadania</t>
  </si>
  <si>
    <t>Kwota dotacji</t>
  </si>
  <si>
    <t>Środki wykorzystane</t>
  </si>
  <si>
    <t xml:space="preserve">Nazwa podmiotu </t>
  </si>
  <si>
    <t xml:space="preserve">Polskie Stowarzyszenie Na Rzecz Osób z Upośledzeniem Umysłowym </t>
  </si>
  <si>
    <t xml:space="preserve">Stowarzyszenie Katolickie Ruch Antynarkotyczny "KARAN" </t>
  </si>
  <si>
    <t>Klub Abstynenta "ESKULAP"</t>
  </si>
  <si>
    <t>Towarzystwo Przyjaciół Dzieci</t>
  </si>
  <si>
    <t>Polskie Towarzystwo Oświaty Zdrowotnej</t>
  </si>
  <si>
    <t>Uczniowski Klub Sportowy "Brajp" przy Szkole Podst. Nr 2</t>
  </si>
  <si>
    <t>Uczniowski Klub Sportowy "Młode Żywioły" przy Szkole Podst. Nr 3</t>
  </si>
  <si>
    <t>Fundacja Pomocy Młodzieży "Wzrastanie"</t>
  </si>
  <si>
    <t>Towarzystwo Pomocy im. św. Brata Alberta</t>
  </si>
  <si>
    <t>Polskie Towarzystwo Gimnastyczne "SOKÓŁ"</t>
  </si>
  <si>
    <t>Łańcuckie Towarzystwo Muzyczne</t>
  </si>
  <si>
    <t>Łańcucki Klub Sportowy "STAL"</t>
  </si>
  <si>
    <t>Uczniowski Międzyszkolny Klub Sportowy</t>
  </si>
  <si>
    <t>-objęcie dzieci wychowaniem przedszkolnym</t>
  </si>
  <si>
    <t>-dowóz dzieci niepełnosprawnych z terenu miasta Łańcuta do Ośrodka  Rehabilitacyjno-Edukacyjno-Wychowawczego Koła PSOUU w Rzeszowie</t>
  </si>
  <si>
    <t>-udzielanie pomocy terapeutycznej osobom z problemem narkotykowym</t>
  </si>
  <si>
    <t>-organizowanie wsparcia i pomocy osobom z problemem alkoholowym</t>
  </si>
  <si>
    <t>-zorganizowanie małych form wypoczynku letniego dla dzieci z rodzin niewydolnych wychowawczo</t>
  </si>
  <si>
    <t>-przygotowanie i realizacja programu profilaktycznego nt. uzależnień lub promocji zdrowia dla dzieci i młodzieży</t>
  </si>
  <si>
    <t>-prowadzenie działań profilaktycznych nt.promocji zdrowia w ramach zajęć sportowych</t>
  </si>
  <si>
    <t>-prowadzenie zajęć sportowych jako formy przeciwdziałania uzależnieniom</t>
  </si>
  <si>
    <t xml:space="preserve">-prowadzenie koła zainteresowań dla dzieci lub młodzieży </t>
  </si>
  <si>
    <t>-prowadzenie środowiskowego programu opiekuńczo-wychowawczego połączonego z dożywianiem dzieci</t>
  </si>
  <si>
    <t>-zapewnienie gorącego posiłku dla potrzebujących</t>
  </si>
  <si>
    <t xml:space="preserve">-organizacja konkursów  wiedzy dla dzieci i młodzieży w zakresie lokalnej tradycji i obrzędowości z uwzględnieniem tradycji narodowej </t>
  </si>
  <si>
    <t>-organizacja koncertów, popularyzacja muzyki klasycznej</t>
  </si>
  <si>
    <t>-upowszechnianie kultury fizycznej poprzez popularyzację piłki koszykowej wraz z promocją gminy</t>
  </si>
  <si>
    <t>-upowszechnianie kultury fizycznej poprzez popularyzację piłki nożnej wraz z promocją gminy</t>
  </si>
  <si>
    <t>-upowszechnianie kultury fizycznej poprzez popularyzację piłki siatkowej wraz z promocją gminy</t>
  </si>
  <si>
    <t xml:space="preserve">                 OGÓŁEM</t>
  </si>
  <si>
    <t>DOTACJE Z BUDŻETU MIASTA ŁAŃCUTA NA REALIZACJĘ ZADAŃ GMINY</t>
  </si>
  <si>
    <t>Świadczenia rodzinne - nowe stanowiska pracy</t>
  </si>
  <si>
    <t xml:space="preserve">               OGÓŁEM DOCHODY</t>
  </si>
  <si>
    <t xml:space="preserve">                      OGÓŁEM WYDATKI</t>
  </si>
  <si>
    <t xml:space="preserve">                        OGÓŁEM</t>
  </si>
  <si>
    <t>Kanalizacja deszczowa ul. Dąbrowskiego</t>
  </si>
  <si>
    <t>DOCHODY OD OSÓB PRAWNYCH, OD OSÓB FIZYCZNYCH I OD INNYCH JEDNOSTEK NIEPOSIADAJĄCYCH OSOBOWOŚCI PRAWNEJ ORAZ WYDATKI ZWIĄZANE Z ICH POBOREM</t>
  </si>
  <si>
    <t xml:space="preserve">Wybory Prezydenta Rzeczypospolitej Polskiej </t>
  </si>
  <si>
    <t xml:space="preserve">           Plan finansowy Gminnego Funduszu Ochrony Środowiska i Gospodarki Wodnej na 2005 r</t>
  </si>
  <si>
    <t>Wpływy z opłat za składowanie odpadów i kar za pozostałe rodzaje gospodarczego korzystania z wód i urządzeń wodnych</t>
  </si>
  <si>
    <t>wykonanie</t>
  </si>
  <si>
    <t>Szkoła Podstawowa Nr 3</t>
  </si>
  <si>
    <t>Szkoła Podstawowa Nr 4</t>
  </si>
  <si>
    <t>Szkoła Podstawowa Nr 2</t>
  </si>
  <si>
    <t>Razem</t>
  </si>
  <si>
    <t>Szkoły Podstawowe</t>
  </si>
  <si>
    <t>plan po zmianach</t>
  </si>
  <si>
    <t xml:space="preserve">plan po zmianach </t>
  </si>
  <si>
    <t xml:space="preserve">dochody z najmu i dzierżawy składników majątkowych Skarbu Państwa, jednostek samorządu terytorialnego lub innych jednostek zaliczanych do sektora finansów publicznych </t>
  </si>
  <si>
    <t>1) wydatki bieżące</t>
  </si>
  <si>
    <t>1) wydatki bieżące, w tym:</t>
  </si>
  <si>
    <t xml:space="preserve">Dowożenie uczniów do szkół </t>
  </si>
  <si>
    <t>- wynagrodzenia osobowe</t>
  </si>
  <si>
    <t xml:space="preserve">- pochodne od wynagrodzeń </t>
  </si>
  <si>
    <t xml:space="preserve">- pozostałe wydatki bieżące </t>
  </si>
  <si>
    <t>1) Wydatki bieżące, w tym:</t>
  </si>
  <si>
    <t>1) DOCHODY I WYDATKI SZKÓŁ PODSTAWOWYCH</t>
  </si>
  <si>
    <t>DOCHODY I WYDATKI JEDNOSTEK BUDŻETOWYCH W 2005R</t>
  </si>
  <si>
    <t xml:space="preserve">2) DOCHODY I WYDATKI GIMNAZJÓW PUBLICZNYCH </t>
  </si>
  <si>
    <t>- pochodne od wynagrodzeń</t>
  </si>
  <si>
    <t>- pozostałe wydatki bieżące</t>
  </si>
  <si>
    <t>Pmoc materialna dla uczniów</t>
  </si>
  <si>
    <t xml:space="preserve">3) DOCHODY I WYDATKI PRZEDSZKOLI MIEJSKICH </t>
  </si>
  <si>
    <t xml:space="preserve">5) DOCHODY I WYDATKI MIEJSKIEGO OŚRODKA SPORTU I REKREACJI </t>
  </si>
  <si>
    <t xml:space="preserve">dochody z najmu i dzierżawy składników majątkowych Skarbu Państwa, jednostek samorządu terytorialnego lub innych jednostek zaliczanych do sektora finansów publicznych oraz innych umów o podobnym charakterze  </t>
  </si>
  <si>
    <t xml:space="preserve">wydatki inwestycyjne </t>
  </si>
  <si>
    <t>DOCHODY OGÓŁEM</t>
  </si>
  <si>
    <t>WYDATKI OGÓŁEM</t>
  </si>
  <si>
    <t xml:space="preserve">4) DOCHODY I WYDATKI MIEJSKIEGO OŚRODKA POMOCY SPOŁECZNEJ  </t>
  </si>
  <si>
    <t xml:space="preserve">1) wydatki bieżące  </t>
  </si>
  <si>
    <t xml:space="preserve">1) wydatki bieżące </t>
  </si>
  <si>
    <t xml:space="preserve">z kwoty ogółem </t>
  </si>
  <si>
    <t>zadania zlecone</t>
  </si>
  <si>
    <t>zadania własne</t>
  </si>
  <si>
    <t>razem</t>
  </si>
  <si>
    <t>dotacja z Państwowego Funduszu Rehabilitacji Osób Niepełnosprawnych na zrekompensowanie utraconych przez gminę dochodów na skutek zwolnień ustawowych z podatków  lokalnych</t>
  </si>
  <si>
    <t>odsetki od nieterminowych wpłat opłat i podatków</t>
  </si>
  <si>
    <t>wpłaty zaległości w podatkach (hipoteka)</t>
  </si>
  <si>
    <t>subwencje ogólne z budżetu państwa (oświatowa)</t>
  </si>
  <si>
    <t>odsetki od środków na rachunku bankowym budżetu</t>
  </si>
  <si>
    <t xml:space="preserve">odsetki od środków na rachunku bankowym </t>
  </si>
  <si>
    <t>dotacje na zadania własne gminy (wyprawka szkolna)</t>
  </si>
  <si>
    <t>nawiązki, inne wpływy</t>
  </si>
  <si>
    <t>darowizny, nadwyżki</t>
  </si>
  <si>
    <t>rozliczenia z lat ubiegłych</t>
  </si>
  <si>
    <t>dochody z najmu i dzierżawy kkładników majątkowych Skarbu Państwa, jednostek samorządu terytorialnego lub innych jednostek zaliczanych do sektora finansów publicznych</t>
  </si>
  <si>
    <t>wpływy z usług</t>
  </si>
  <si>
    <t>zwrot wydatków</t>
  </si>
  <si>
    <t>wpływy z odsetek od środków na rachunku bankowym jednostki i zwroty wydatków</t>
  </si>
  <si>
    <t xml:space="preserve">odsetki od nieterminowych wpłat </t>
  </si>
  <si>
    <t>wpływy do budżetu nadwyżki środków obrotowych przekazanych przez zakłady budżetowe</t>
  </si>
  <si>
    <t>najem lokali w obiektach Miejskiego Ośrodka Sportu i Rekreacji</t>
  </si>
  <si>
    <t>wpływy z odpłatności za bilety wstępu na imprezy organizowane przez Miejski Ośrodek Sportu i Rekreacji</t>
  </si>
  <si>
    <t>DZIAŁALNOŚC USŁUGOWA</t>
  </si>
  <si>
    <t>wpływy z rozliczeń za koszty administrowania lokalami</t>
  </si>
  <si>
    <t>koszty upomnień, wpływy z opłaty stałej, refundowanie wydatków</t>
  </si>
  <si>
    <t xml:space="preserve">Przedszkole Sióstr Służebniczek NMP </t>
  </si>
  <si>
    <t>pozostełe odsetki</t>
  </si>
  <si>
    <t>Dotacje celowe otrzymane z budżetu państwa na realizację inwestycji i zakupów inwestycyjnych własnych gmin</t>
  </si>
  <si>
    <t>pozostałe odsetki</t>
  </si>
  <si>
    <t>odpłatność za wyżywienie</t>
  </si>
  <si>
    <t>wpływy z usług (opłata stała)</t>
  </si>
  <si>
    <t>Publiczne Gimnazjum Nr 1</t>
  </si>
  <si>
    <t>Publiczne Gimnazjum Nr 2</t>
  </si>
  <si>
    <t>Przedszkole Miejskie Nr 1</t>
  </si>
  <si>
    <t>Przedszkole Miejskie Nr 2</t>
  </si>
  <si>
    <t>Przedszkole Miejskie Nr 4</t>
  </si>
  <si>
    <t>Przedszkole Miejskie Nr 5</t>
  </si>
  <si>
    <t>Usługi opiekuńcze</t>
  </si>
  <si>
    <t>Przedszkole Miejskie Nr 3</t>
  </si>
  <si>
    <t>Bank Spółdzielczy w Łańcucie      Umowa Nr 2/2005</t>
  </si>
  <si>
    <t>Wojewódzki Fundusz Ochrony Środowiska i Gospodarki Wodnej S.A. Umowa Nr 48/2005/GW/R/P</t>
  </si>
  <si>
    <t>Wojewódzki Fundusz Ochrony Środowiska i Gospodarki Wodnej S.A. Umowa Nr 47/2005/OW/</t>
  </si>
  <si>
    <t>Wojewódzki Fundusz Ochrony Środowiska i Gospodarki Wodnej S.A. Umowa Nr 49/2005/GW/R/PM</t>
  </si>
  <si>
    <t>Załącznik Nr 4</t>
  </si>
  <si>
    <t>Załącznik Nr 1</t>
  </si>
  <si>
    <t>Załacznik Nr 2</t>
  </si>
  <si>
    <t>Załącznik Nr 3</t>
  </si>
  <si>
    <t>Załącznik Nr 5</t>
  </si>
  <si>
    <t>Załącznik Nr 6</t>
  </si>
  <si>
    <t>Załącznik Nr 7</t>
  </si>
  <si>
    <t>Załącznik Nr 8</t>
  </si>
  <si>
    <t>Załącznik nr 9</t>
  </si>
  <si>
    <t xml:space="preserve">Dofiansowanie zakupu zakup samochodu specjalistycznego </t>
  </si>
  <si>
    <t>Dofiansowanie zakupu karetki reanimacyjnej</t>
  </si>
  <si>
    <t>DOCHODY BUDŻETOWE W 2005 R</t>
  </si>
  <si>
    <t>WYDATKI BUDŻETOWE W 2005 R</t>
  </si>
  <si>
    <t>Odsetki od środków na rachunku bankowym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</si>
</sst>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[Red]\-#,##0\ "/>
    <numFmt numFmtId="172" formatCode="#,##0_ ;\-#,##0\ "/>
  </numFmts>
  <fonts count="21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1"/>
      <name val="Arial CE"/>
      <family val="2"/>
    </font>
    <font>
      <sz val="9"/>
      <name val="Arial"/>
      <family val="0"/>
    </font>
    <font>
      <sz val="11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7.5"/>
      <name val="Arial CE"/>
      <family val="2"/>
    </font>
    <font>
      <b/>
      <i/>
      <sz val="8"/>
      <name val="Arial CE"/>
      <family val="2"/>
    </font>
    <font>
      <b/>
      <sz val="9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1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3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1" fillId="0" borderId="9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/>
    </xf>
    <xf numFmtId="3" fontId="5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0" fontId="13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3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3" fontId="12" fillId="0" borderId="3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13" fillId="0" borderId="4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3" fontId="17" fillId="0" borderId="3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9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3" fontId="18" fillId="0" borderId="3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3" fontId="13" fillId="0" borderId="3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0" fillId="0" borderId="3" xfId="0" applyNumberForma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center" vertical="center" wrapText="1"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vertical="center"/>
    </xf>
    <xf numFmtId="41" fontId="13" fillId="0" borderId="4" xfId="0" applyNumberFormat="1" applyFont="1" applyBorder="1" applyAlignment="1">
      <alignment vertical="center"/>
    </xf>
    <xf numFmtId="41" fontId="13" fillId="0" borderId="4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5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" fontId="0" fillId="0" borderId="2" xfId="19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3" fontId="0" fillId="0" borderId="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3" fontId="19" fillId="0" borderId="6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4" fontId="19" fillId="0" borderId="6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zoomScale="90" zoomScaleNormal="90" workbookViewId="0" topLeftCell="A1">
      <selection activeCell="G136" sqref="G136"/>
    </sheetView>
  </sheetViews>
  <sheetFormatPr defaultColWidth="9.00390625" defaultRowHeight="12.75"/>
  <cols>
    <col min="1" max="1" width="7.625" style="30" customWidth="1"/>
    <col min="2" max="2" width="46.125" style="30" customWidth="1"/>
    <col min="3" max="3" width="10.375" style="230" customWidth="1"/>
    <col min="4" max="4" width="9.75390625" style="30" customWidth="1"/>
    <col min="5" max="5" width="10.75390625" style="30" customWidth="1"/>
    <col min="6" max="6" width="10.125" style="30" customWidth="1"/>
    <col min="7" max="7" width="7.625" style="30" customWidth="1"/>
    <col min="8" max="8" width="9.125" style="18" customWidth="1"/>
  </cols>
  <sheetData>
    <row r="1" spans="1:7" ht="18" customHeight="1">
      <c r="A1" s="307" t="s">
        <v>391</v>
      </c>
      <c r="B1" s="307"/>
      <c r="C1" s="307"/>
      <c r="D1" s="307"/>
      <c r="E1" s="307"/>
      <c r="F1" s="307"/>
      <c r="G1" s="307"/>
    </row>
    <row r="2" spans="1:8" ht="30.75" customHeight="1">
      <c r="A2" s="308" t="s">
        <v>401</v>
      </c>
      <c r="B2" s="308"/>
      <c r="C2" s="308"/>
      <c r="D2" s="308"/>
      <c r="E2" s="308"/>
      <c r="F2" s="308"/>
      <c r="G2" s="308"/>
      <c r="H2" s="81"/>
    </row>
    <row r="3" spans="1:8" ht="28.5" customHeight="1">
      <c r="A3" s="309" t="s">
        <v>12</v>
      </c>
      <c r="B3" s="310" t="s">
        <v>0</v>
      </c>
      <c r="C3" s="311" t="s">
        <v>99</v>
      </c>
      <c r="D3" s="309" t="s">
        <v>255</v>
      </c>
      <c r="E3" s="312" t="s">
        <v>163</v>
      </c>
      <c r="F3" s="283" t="s">
        <v>164</v>
      </c>
      <c r="G3" s="284"/>
      <c r="H3" s="81"/>
    </row>
    <row r="4" spans="1:8" ht="26.25" customHeight="1">
      <c r="A4" s="313"/>
      <c r="B4" s="314"/>
      <c r="C4" s="315"/>
      <c r="D4" s="313"/>
      <c r="E4" s="316"/>
      <c r="F4" s="317" t="s">
        <v>165</v>
      </c>
      <c r="G4" s="144" t="s">
        <v>166</v>
      </c>
      <c r="H4" s="81"/>
    </row>
    <row r="5" spans="1:8" s="80" customFormat="1" ht="43.5" customHeight="1">
      <c r="A5" s="318">
        <v>400</v>
      </c>
      <c r="B5" s="319" t="s">
        <v>262</v>
      </c>
      <c r="C5" s="320">
        <f>C6</f>
        <v>0</v>
      </c>
      <c r="D5" s="320">
        <f>D6</f>
        <v>1700000</v>
      </c>
      <c r="E5" s="321">
        <f>E6</f>
        <v>1700000</v>
      </c>
      <c r="F5" s="322">
        <f>F6</f>
        <v>1471897</v>
      </c>
      <c r="G5" s="323">
        <f>F5*100/E5</f>
        <v>86.58217647058824</v>
      </c>
      <c r="H5" s="84"/>
    </row>
    <row r="6" spans="1:8" s="80" customFormat="1" ht="25.5" customHeight="1">
      <c r="A6" s="318">
        <v>40002</v>
      </c>
      <c r="B6" s="324" t="s">
        <v>149</v>
      </c>
      <c r="C6" s="325">
        <f>C7+C8</f>
        <v>0</v>
      </c>
      <c r="D6" s="325">
        <f>D7+D8</f>
        <v>1700000</v>
      </c>
      <c r="E6" s="326">
        <f>E7+E8</f>
        <v>1700000</v>
      </c>
      <c r="F6" s="322">
        <f>F7+F8</f>
        <v>1471897</v>
      </c>
      <c r="G6" s="323">
        <f>F6*100/E6</f>
        <v>86.58217647058824</v>
      </c>
      <c r="H6" s="84"/>
    </row>
    <row r="7" spans="1:8" ht="47.25" customHeight="1">
      <c r="A7" s="327"/>
      <c r="B7" s="328" t="s">
        <v>268</v>
      </c>
      <c r="C7" s="329">
        <v>0</v>
      </c>
      <c r="D7" s="329">
        <v>1500000</v>
      </c>
      <c r="E7" s="330">
        <v>1500000</v>
      </c>
      <c r="F7" s="331">
        <v>1471897</v>
      </c>
      <c r="G7" s="332">
        <f>F7*100/E7</f>
        <v>98.12646666666667</v>
      </c>
      <c r="H7" s="81"/>
    </row>
    <row r="8" spans="1:8" ht="42" customHeight="1">
      <c r="A8" s="327"/>
      <c r="B8" s="333" t="s">
        <v>267</v>
      </c>
      <c r="C8" s="334">
        <v>0</v>
      </c>
      <c r="D8" s="334">
        <v>200000</v>
      </c>
      <c r="E8" s="335">
        <v>200000</v>
      </c>
      <c r="F8" s="331">
        <v>0</v>
      </c>
      <c r="G8" s="336">
        <v>0</v>
      </c>
      <c r="H8" s="81"/>
    </row>
    <row r="9" spans="1:8" s="24" customFormat="1" ht="26.25" customHeight="1">
      <c r="A9" s="337">
        <v>700</v>
      </c>
      <c r="B9" s="338" t="s">
        <v>1</v>
      </c>
      <c r="C9" s="339">
        <f>C10</f>
        <v>1711515</v>
      </c>
      <c r="D9" s="340">
        <f>D10</f>
        <v>0</v>
      </c>
      <c r="E9" s="341">
        <f>E10</f>
        <v>1711515</v>
      </c>
      <c r="F9" s="320">
        <f>F10</f>
        <v>1677238</v>
      </c>
      <c r="G9" s="323">
        <f aca="true" t="shared" si="0" ref="G9:G14">F9*100/E9</f>
        <v>97.9972714232712</v>
      </c>
      <c r="H9" s="84"/>
    </row>
    <row r="10" spans="1:8" s="24" customFormat="1" ht="25.5" customHeight="1">
      <c r="A10" s="342" t="s">
        <v>175</v>
      </c>
      <c r="B10" s="338" t="s">
        <v>26</v>
      </c>
      <c r="C10" s="339">
        <f>C14+C13+C12+C11</f>
        <v>1711515</v>
      </c>
      <c r="D10" s="340">
        <f>D11+D12+D13+D14</f>
        <v>0</v>
      </c>
      <c r="E10" s="343">
        <f>E14+E13+E12+E11</f>
        <v>1711515</v>
      </c>
      <c r="F10" s="325">
        <f>F11+F12+F13+F14</f>
        <v>1677238</v>
      </c>
      <c r="G10" s="323">
        <f t="shared" si="0"/>
        <v>97.9972714232712</v>
      </c>
      <c r="H10" s="84"/>
    </row>
    <row r="11" spans="1:8" ht="36.75" customHeight="1">
      <c r="A11" s="344"/>
      <c r="B11" s="148" t="s">
        <v>223</v>
      </c>
      <c r="C11" s="345">
        <v>244000</v>
      </c>
      <c r="D11" s="346" t="s">
        <v>257</v>
      </c>
      <c r="E11" s="347">
        <v>244000</v>
      </c>
      <c r="F11" s="329">
        <v>207400</v>
      </c>
      <c r="G11" s="348">
        <f t="shared" si="0"/>
        <v>85</v>
      </c>
      <c r="H11" s="81"/>
    </row>
    <row r="12" spans="1:8" ht="67.5" customHeight="1">
      <c r="A12" s="344"/>
      <c r="B12" s="148" t="s">
        <v>100</v>
      </c>
      <c r="C12" s="345">
        <v>1062515</v>
      </c>
      <c r="D12" s="346" t="s">
        <v>257</v>
      </c>
      <c r="E12" s="347">
        <v>1062515</v>
      </c>
      <c r="F12" s="329">
        <v>1020057</v>
      </c>
      <c r="G12" s="332">
        <f t="shared" si="0"/>
        <v>96.00400935516204</v>
      </c>
      <c r="H12" s="81"/>
    </row>
    <row r="13" spans="1:8" ht="28.5" customHeight="1">
      <c r="A13" s="344"/>
      <c r="B13" s="148" t="s">
        <v>101</v>
      </c>
      <c r="C13" s="345">
        <f>5000+270000</f>
        <v>275000</v>
      </c>
      <c r="D13" s="346" t="s">
        <v>257</v>
      </c>
      <c r="E13" s="347">
        <f>5000+270000</f>
        <v>275000</v>
      </c>
      <c r="F13" s="329">
        <v>355369</v>
      </c>
      <c r="G13" s="332">
        <f t="shared" si="0"/>
        <v>129.2250909090909</v>
      </c>
      <c r="H13" s="81"/>
    </row>
    <row r="14" spans="1:8" ht="24" customHeight="1">
      <c r="A14" s="349"/>
      <c r="B14" s="350" t="s">
        <v>370</v>
      </c>
      <c r="C14" s="351">
        <f>5000+125000</f>
        <v>130000</v>
      </c>
      <c r="D14" s="352" t="s">
        <v>257</v>
      </c>
      <c r="E14" s="353">
        <f>5000+125000</f>
        <v>130000</v>
      </c>
      <c r="F14" s="334">
        <f>22967+71445</f>
        <v>94412</v>
      </c>
      <c r="G14" s="336">
        <f t="shared" si="0"/>
        <v>72.62461538461538</v>
      </c>
      <c r="H14" s="81"/>
    </row>
    <row r="15" spans="1:8" s="80" customFormat="1" ht="27" customHeight="1">
      <c r="A15" s="337" t="s">
        <v>263</v>
      </c>
      <c r="B15" s="150" t="s">
        <v>369</v>
      </c>
      <c r="C15" s="354">
        <f aca="true" t="shared" si="1" ref="C15:F16">C16</f>
        <v>0</v>
      </c>
      <c r="D15" s="355">
        <f t="shared" si="1"/>
        <v>8000</v>
      </c>
      <c r="E15" s="341">
        <f t="shared" si="1"/>
        <v>8000</v>
      </c>
      <c r="F15" s="320">
        <f t="shared" si="1"/>
        <v>8000</v>
      </c>
      <c r="G15" s="356">
        <f aca="true" t="shared" si="2" ref="G15:G43">F15*100/E15</f>
        <v>100</v>
      </c>
      <c r="H15" s="84"/>
    </row>
    <row r="16" spans="1:8" s="80" customFormat="1" ht="26.25" customHeight="1">
      <c r="A16" s="342" t="s">
        <v>264</v>
      </c>
      <c r="B16" s="357" t="s">
        <v>29</v>
      </c>
      <c r="C16" s="339">
        <f t="shared" si="1"/>
        <v>0</v>
      </c>
      <c r="D16" s="340">
        <f t="shared" si="1"/>
        <v>8000</v>
      </c>
      <c r="E16" s="343">
        <f t="shared" si="1"/>
        <v>8000</v>
      </c>
      <c r="F16" s="325">
        <f t="shared" si="1"/>
        <v>8000</v>
      </c>
      <c r="G16" s="323">
        <f t="shared" si="2"/>
        <v>100</v>
      </c>
      <c r="H16" s="84"/>
    </row>
    <row r="17" spans="1:8" ht="57.75" customHeight="1">
      <c r="A17" s="344"/>
      <c r="B17" s="148" t="s">
        <v>265</v>
      </c>
      <c r="C17" s="345">
        <v>0</v>
      </c>
      <c r="D17" s="358">
        <v>8000</v>
      </c>
      <c r="E17" s="347">
        <v>8000</v>
      </c>
      <c r="F17" s="329">
        <v>8000</v>
      </c>
      <c r="G17" s="332">
        <f t="shared" si="2"/>
        <v>100</v>
      </c>
      <c r="H17" s="81"/>
    </row>
    <row r="18" spans="1:8" s="24" customFormat="1" ht="29.25" customHeight="1">
      <c r="A18" s="359">
        <v>750</v>
      </c>
      <c r="B18" s="150" t="s">
        <v>2</v>
      </c>
      <c r="C18" s="354">
        <f>C22+C19</f>
        <v>220602</v>
      </c>
      <c r="D18" s="355">
        <f>D19</f>
        <v>0</v>
      </c>
      <c r="E18" s="341">
        <f>E22+E19</f>
        <v>220602</v>
      </c>
      <c r="F18" s="320">
        <f>F19+F22</f>
        <v>277530</v>
      </c>
      <c r="G18" s="356">
        <f t="shared" si="2"/>
        <v>125.8057497212174</v>
      </c>
      <c r="H18" s="84"/>
    </row>
    <row r="19" spans="1:8" s="24" customFormat="1" ht="26.25" customHeight="1">
      <c r="A19" s="360" t="s">
        <v>176</v>
      </c>
      <c r="B19" s="357" t="s">
        <v>144</v>
      </c>
      <c r="C19" s="339">
        <f>C21+C20</f>
        <v>120602</v>
      </c>
      <c r="D19" s="340">
        <f>D20+D21</f>
        <v>0</v>
      </c>
      <c r="E19" s="343">
        <f>E21+E20</f>
        <v>120602</v>
      </c>
      <c r="F19" s="325">
        <f>F20+F21</f>
        <v>121816</v>
      </c>
      <c r="G19" s="323">
        <f t="shared" si="2"/>
        <v>101.00661680569145</v>
      </c>
      <c r="H19" s="84"/>
    </row>
    <row r="20" spans="1:8" ht="54" customHeight="1">
      <c r="A20" s="361"/>
      <c r="B20" s="148" t="s">
        <v>102</v>
      </c>
      <c r="C20" s="345">
        <v>119102</v>
      </c>
      <c r="D20" s="346" t="s">
        <v>257</v>
      </c>
      <c r="E20" s="347">
        <v>119102</v>
      </c>
      <c r="F20" s="329">
        <v>119102</v>
      </c>
      <c r="G20" s="332">
        <f t="shared" si="2"/>
        <v>100</v>
      </c>
      <c r="H20" s="81"/>
    </row>
    <row r="21" spans="1:8" ht="51" customHeight="1">
      <c r="A21" s="361"/>
      <c r="B21" s="148" t="s">
        <v>173</v>
      </c>
      <c r="C21" s="345">
        <v>1500</v>
      </c>
      <c r="D21" s="346" t="s">
        <v>257</v>
      </c>
      <c r="E21" s="347">
        <v>1500</v>
      </c>
      <c r="F21" s="329">
        <v>2714</v>
      </c>
      <c r="G21" s="332">
        <f t="shared" si="2"/>
        <v>180.93333333333334</v>
      </c>
      <c r="H21" s="81"/>
    </row>
    <row r="22" spans="1:8" s="24" customFormat="1" ht="26.25" customHeight="1">
      <c r="A22" s="360" t="s">
        <v>177</v>
      </c>
      <c r="B22" s="357" t="s">
        <v>32</v>
      </c>
      <c r="C22" s="339">
        <f>C23</f>
        <v>100000</v>
      </c>
      <c r="D22" s="340" t="str">
        <f>D23</f>
        <v>0</v>
      </c>
      <c r="E22" s="343">
        <f>E23</f>
        <v>100000</v>
      </c>
      <c r="F22" s="325">
        <f>F23</f>
        <v>155714</v>
      </c>
      <c r="G22" s="323">
        <f t="shared" si="2"/>
        <v>155.714</v>
      </c>
      <c r="H22" s="84"/>
    </row>
    <row r="23" spans="1:8" ht="30" customHeight="1">
      <c r="A23" s="362"/>
      <c r="B23" s="350" t="s">
        <v>371</v>
      </c>
      <c r="C23" s="351">
        <f>30000+70000</f>
        <v>100000</v>
      </c>
      <c r="D23" s="352" t="s">
        <v>257</v>
      </c>
      <c r="E23" s="353">
        <f>30000+70000</f>
        <v>100000</v>
      </c>
      <c r="F23" s="334">
        <f>36766+118779+169</f>
        <v>155714</v>
      </c>
      <c r="G23" s="336">
        <f t="shared" si="2"/>
        <v>155.714</v>
      </c>
      <c r="H23" s="81"/>
    </row>
    <row r="24" spans="1:8" s="24" customFormat="1" ht="57" customHeight="1">
      <c r="A24" s="359">
        <v>751</v>
      </c>
      <c r="B24" s="150" t="s">
        <v>3</v>
      </c>
      <c r="C24" s="320">
        <f>C25+C27+C29</f>
        <v>2849</v>
      </c>
      <c r="D24" s="320">
        <f>D25+D27+D29</f>
        <v>74440</v>
      </c>
      <c r="E24" s="320">
        <f>E25+E27+E29</f>
        <v>77289</v>
      </c>
      <c r="F24" s="320">
        <f>F25+F27+F29</f>
        <v>76484</v>
      </c>
      <c r="G24" s="356">
        <f t="shared" si="2"/>
        <v>98.95845463131882</v>
      </c>
      <c r="H24" s="84"/>
    </row>
    <row r="25" spans="1:8" s="24" customFormat="1" ht="39" customHeight="1">
      <c r="A25" s="360" t="s">
        <v>178</v>
      </c>
      <c r="B25" s="357" t="s">
        <v>218</v>
      </c>
      <c r="C25" s="325">
        <f>C26</f>
        <v>2849</v>
      </c>
      <c r="D25" s="325" t="str">
        <f>D26</f>
        <v>0</v>
      </c>
      <c r="E25" s="325">
        <f>E26</f>
        <v>2849</v>
      </c>
      <c r="F25" s="325">
        <f>F26</f>
        <v>2849</v>
      </c>
      <c r="G25" s="323">
        <f t="shared" si="2"/>
        <v>100</v>
      </c>
      <c r="H25" s="84"/>
    </row>
    <row r="26" spans="1:8" ht="57" customHeight="1">
      <c r="A26" s="362"/>
      <c r="B26" s="350" t="s">
        <v>102</v>
      </c>
      <c r="C26" s="334">
        <v>2849</v>
      </c>
      <c r="D26" s="334" t="s">
        <v>257</v>
      </c>
      <c r="E26" s="334">
        <v>2849</v>
      </c>
      <c r="F26" s="334">
        <v>2849</v>
      </c>
      <c r="G26" s="336">
        <f t="shared" si="2"/>
        <v>100</v>
      </c>
      <c r="H26" s="81"/>
    </row>
    <row r="27" spans="1:8" s="80" customFormat="1" ht="30" customHeight="1">
      <c r="A27" s="359" t="s">
        <v>258</v>
      </c>
      <c r="B27" s="150" t="s">
        <v>266</v>
      </c>
      <c r="C27" s="320">
        <f>C28</f>
        <v>0</v>
      </c>
      <c r="D27" s="320">
        <f>D28</f>
        <v>45460</v>
      </c>
      <c r="E27" s="320">
        <f>E28</f>
        <v>45460</v>
      </c>
      <c r="F27" s="320">
        <f>F28</f>
        <v>45060</v>
      </c>
      <c r="G27" s="356">
        <f t="shared" si="2"/>
        <v>99.12010558732952</v>
      </c>
      <c r="H27" s="84"/>
    </row>
    <row r="28" spans="1:8" ht="60" customHeight="1">
      <c r="A28" s="361"/>
      <c r="B28" s="148" t="s">
        <v>102</v>
      </c>
      <c r="C28" s="329">
        <v>0</v>
      </c>
      <c r="D28" s="329">
        <v>45460</v>
      </c>
      <c r="E28" s="329">
        <v>45460</v>
      </c>
      <c r="F28" s="329">
        <v>45060</v>
      </c>
      <c r="G28" s="332">
        <f t="shared" si="2"/>
        <v>99.12010558732952</v>
      </c>
      <c r="H28" s="81"/>
    </row>
    <row r="29" spans="1:8" s="80" customFormat="1" ht="29.25" customHeight="1">
      <c r="A29" s="360" t="s">
        <v>259</v>
      </c>
      <c r="B29" s="357" t="s">
        <v>260</v>
      </c>
      <c r="C29" s="325">
        <f>C30</f>
        <v>0</v>
      </c>
      <c r="D29" s="325">
        <f>D30</f>
        <v>28980</v>
      </c>
      <c r="E29" s="325">
        <f>E30</f>
        <v>28980</v>
      </c>
      <c r="F29" s="325">
        <f>F30</f>
        <v>28575</v>
      </c>
      <c r="G29" s="323">
        <f t="shared" si="2"/>
        <v>98.6024844720497</v>
      </c>
      <c r="H29" s="84"/>
    </row>
    <row r="30" spans="1:8" ht="60" customHeight="1">
      <c r="A30" s="362"/>
      <c r="B30" s="350" t="s">
        <v>102</v>
      </c>
      <c r="C30" s="334">
        <v>0</v>
      </c>
      <c r="D30" s="334">
        <v>28980</v>
      </c>
      <c r="E30" s="334">
        <v>28980</v>
      </c>
      <c r="F30" s="334">
        <v>28575</v>
      </c>
      <c r="G30" s="336">
        <f t="shared" si="2"/>
        <v>98.6024844720497</v>
      </c>
      <c r="H30" s="81"/>
    </row>
    <row r="31" spans="1:8" s="24" customFormat="1" ht="45" customHeight="1">
      <c r="A31" s="360">
        <v>754</v>
      </c>
      <c r="B31" s="150" t="s">
        <v>5</v>
      </c>
      <c r="C31" s="325">
        <v>7000</v>
      </c>
      <c r="D31" s="325">
        <f aca="true" t="shared" si="3" ref="D31:F32">D32</f>
        <v>0</v>
      </c>
      <c r="E31" s="340">
        <f t="shared" si="3"/>
        <v>7000</v>
      </c>
      <c r="F31" s="325">
        <f t="shared" si="3"/>
        <v>7000</v>
      </c>
      <c r="G31" s="323">
        <f t="shared" si="2"/>
        <v>100</v>
      </c>
      <c r="H31" s="84"/>
    </row>
    <row r="32" spans="1:8" s="24" customFormat="1" ht="30" customHeight="1">
      <c r="A32" s="360" t="s">
        <v>179</v>
      </c>
      <c r="B32" s="357" t="s">
        <v>6</v>
      </c>
      <c r="C32" s="325">
        <f>C33</f>
        <v>7000</v>
      </c>
      <c r="D32" s="325">
        <f t="shared" si="3"/>
        <v>0</v>
      </c>
      <c r="E32" s="340">
        <f t="shared" si="3"/>
        <v>7000</v>
      </c>
      <c r="F32" s="325">
        <f t="shared" si="3"/>
        <v>7000</v>
      </c>
      <c r="G32" s="323">
        <f t="shared" si="2"/>
        <v>100</v>
      </c>
      <c r="H32" s="84"/>
    </row>
    <row r="33" spans="1:8" ht="60" customHeight="1">
      <c r="A33" s="361"/>
      <c r="B33" s="350" t="s">
        <v>104</v>
      </c>
      <c r="C33" s="329">
        <v>7000</v>
      </c>
      <c r="D33" s="334">
        <v>0</v>
      </c>
      <c r="E33" s="358">
        <v>7000</v>
      </c>
      <c r="F33" s="329">
        <v>7000</v>
      </c>
      <c r="G33" s="332">
        <f t="shared" si="2"/>
        <v>100</v>
      </c>
      <c r="H33" s="81"/>
    </row>
    <row r="34" spans="1:8" s="24" customFormat="1" ht="69" customHeight="1">
      <c r="A34" s="359">
        <v>756</v>
      </c>
      <c r="B34" s="150" t="s">
        <v>312</v>
      </c>
      <c r="C34" s="320">
        <f>C63+C61+C57+C46+C38+C35</f>
        <v>14709793</v>
      </c>
      <c r="D34" s="320">
        <f>D35+D38+D46+D57+D61+D63</f>
        <v>165000</v>
      </c>
      <c r="E34" s="320">
        <f>E63+E61+E57+E46+E38+E35</f>
        <v>14874793</v>
      </c>
      <c r="F34" s="320">
        <f>F35+F38+F46+F57+F61+F63</f>
        <v>15725555</v>
      </c>
      <c r="G34" s="356">
        <f t="shared" si="2"/>
        <v>105.71948799556404</v>
      </c>
      <c r="H34" s="84"/>
    </row>
    <row r="35" spans="1:8" s="24" customFormat="1" ht="30" customHeight="1">
      <c r="A35" s="360" t="s">
        <v>180</v>
      </c>
      <c r="B35" s="357" t="s">
        <v>181</v>
      </c>
      <c r="C35" s="325">
        <f>C37+C36</f>
        <v>50100</v>
      </c>
      <c r="D35" s="325">
        <f>D36</f>
        <v>0</v>
      </c>
      <c r="E35" s="325">
        <f>E37+E36</f>
        <v>50100</v>
      </c>
      <c r="F35" s="325">
        <f>F36+F37</f>
        <v>75374</v>
      </c>
      <c r="G35" s="323">
        <f t="shared" si="2"/>
        <v>150.44710578842316</v>
      </c>
      <c r="H35" s="84"/>
    </row>
    <row r="36" spans="1:8" ht="33" customHeight="1">
      <c r="A36" s="361"/>
      <c r="B36" s="148" t="s">
        <v>105</v>
      </c>
      <c r="C36" s="329">
        <v>50000</v>
      </c>
      <c r="D36" s="329">
        <f>D37</f>
        <v>0</v>
      </c>
      <c r="E36" s="329">
        <v>50000</v>
      </c>
      <c r="F36" s="329">
        <v>74426</v>
      </c>
      <c r="G36" s="332">
        <f t="shared" si="2"/>
        <v>148.852</v>
      </c>
      <c r="H36" s="81"/>
    </row>
    <row r="37" spans="1:8" ht="30" customHeight="1">
      <c r="A37" s="362"/>
      <c r="B37" s="350" t="s">
        <v>365</v>
      </c>
      <c r="C37" s="334">
        <v>100</v>
      </c>
      <c r="D37" s="334">
        <v>0</v>
      </c>
      <c r="E37" s="334">
        <v>100</v>
      </c>
      <c r="F37" s="334">
        <v>948</v>
      </c>
      <c r="G37" s="336">
        <f t="shared" si="2"/>
        <v>948</v>
      </c>
      <c r="H37" s="81"/>
    </row>
    <row r="38" spans="1:8" s="24" customFormat="1" ht="63" customHeight="1">
      <c r="A38" s="359" t="s">
        <v>182</v>
      </c>
      <c r="B38" s="150" t="s">
        <v>231</v>
      </c>
      <c r="C38" s="320">
        <f>C44+C43+C42+C41+C40+C39</f>
        <v>4788355</v>
      </c>
      <c r="D38" s="320">
        <f>D39+D40+D41+D42+D43+D45</f>
        <v>0</v>
      </c>
      <c r="E38" s="320">
        <f>E44+E43+E42+E41+E40+E39+E45</f>
        <v>4788355</v>
      </c>
      <c r="F38" s="320">
        <f>F39+F40+F41+F42+F43+F44+F45</f>
        <v>5111567</v>
      </c>
      <c r="G38" s="356">
        <f t="shared" si="2"/>
        <v>106.74995901515238</v>
      </c>
      <c r="H38" s="84"/>
    </row>
    <row r="39" spans="1:8" ht="21" customHeight="1">
      <c r="A39" s="361"/>
      <c r="B39" s="148" t="s">
        <v>184</v>
      </c>
      <c r="C39" s="329">
        <v>4633355</v>
      </c>
      <c r="D39" s="329">
        <v>0</v>
      </c>
      <c r="E39" s="329">
        <v>4633355</v>
      </c>
      <c r="F39" s="329">
        <v>4955954</v>
      </c>
      <c r="G39" s="332">
        <f t="shared" si="2"/>
        <v>106.96253578670316</v>
      </c>
      <c r="H39" s="81"/>
    </row>
    <row r="40" spans="1:8" ht="21" customHeight="1">
      <c r="A40" s="361"/>
      <c r="B40" s="148" t="s">
        <v>106</v>
      </c>
      <c r="C40" s="329">
        <v>9500</v>
      </c>
      <c r="D40" s="329">
        <v>0</v>
      </c>
      <c r="E40" s="329">
        <v>9500</v>
      </c>
      <c r="F40" s="329">
        <v>8777</v>
      </c>
      <c r="G40" s="332">
        <f t="shared" si="2"/>
        <v>92.38947368421053</v>
      </c>
      <c r="H40" s="81"/>
    </row>
    <row r="41" spans="1:8" ht="21" customHeight="1">
      <c r="A41" s="361"/>
      <c r="B41" s="148" t="s">
        <v>107</v>
      </c>
      <c r="C41" s="329">
        <v>110000</v>
      </c>
      <c r="D41" s="329">
        <v>0</v>
      </c>
      <c r="E41" s="329">
        <v>110000</v>
      </c>
      <c r="F41" s="329">
        <v>115692</v>
      </c>
      <c r="G41" s="332">
        <f t="shared" si="2"/>
        <v>105.17454545454545</v>
      </c>
      <c r="H41" s="81"/>
    </row>
    <row r="42" spans="1:8" ht="21" customHeight="1">
      <c r="A42" s="361"/>
      <c r="B42" s="148" t="s">
        <v>112</v>
      </c>
      <c r="C42" s="329">
        <v>30000</v>
      </c>
      <c r="D42" s="329">
        <v>0</v>
      </c>
      <c r="E42" s="329">
        <v>30000</v>
      </c>
      <c r="F42" s="329">
        <v>12839</v>
      </c>
      <c r="G42" s="332">
        <f t="shared" si="2"/>
        <v>42.79666666666667</v>
      </c>
      <c r="H42" s="81"/>
    </row>
    <row r="43" spans="1:8" ht="21" customHeight="1">
      <c r="A43" s="361"/>
      <c r="B43" s="148" t="s">
        <v>111</v>
      </c>
      <c r="C43" s="329">
        <v>500</v>
      </c>
      <c r="D43" s="329">
        <v>0</v>
      </c>
      <c r="E43" s="329">
        <v>500</v>
      </c>
      <c r="F43" s="329">
        <v>40</v>
      </c>
      <c r="G43" s="332">
        <f t="shared" si="2"/>
        <v>8</v>
      </c>
      <c r="H43" s="81"/>
    </row>
    <row r="44" spans="1:8" ht="21" customHeight="1">
      <c r="A44" s="361"/>
      <c r="B44" s="148" t="s">
        <v>352</v>
      </c>
      <c r="C44" s="329">
        <v>5000</v>
      </c>
      <c r="D44" s="329">
        <v>0</v>
      </c>
      <c r="E44" s="329">
        <v>5000</v>
      </c>
      <c r="F44" s="329">
        <v>6936</v>
      </c>
      <c r="G44" s="332"/>
      <c r="H44" s="81"/>
    </row>
    <row r="45" spans="1:7" s="222" customFormat="1" ht="21" customHeight="1">
      <c r="A45" s="361"/>
      <c r="B45" s="148" t="s">
        <v>353</v>
      </c>
      <c r="C45" s="154">
        <v>0</v>
      </c>
      <c r="D45" s="329">
        <v>0</v>
      </c>
      <c r="E45" s="241">
        <v>0</v>
      </c>
      <c r="F45" s="329">
        <v>11329</v>
      </c>
      <c r="G45" s="332">
        <f>F45*100/E44</f>
        <v>226.58</v>
      </c>
    </row>
    <row r="46" spans="1:8" s="24" customFormat="1" ht="69" customHeight="1">
      <c r="A46" s="360" t="s">
        <v>183</v>
      </c>
      <c r="B46" s="357" t="s">
        <v>232</v>
      </c>
      <c r="C46" s="325">
        <f>C55+C56+C54+C53+C52+C51+C50+C49+C48+C47</f>
        <v>2467000</v>
      </c>
      <c r="D46" s="325">
        <f>D47+D48+D49+D50+D51++D52+D53+D54+D55+D56</f>
        <v>0</v>
      </c>
      <c r="E46" s="325">
        <f>E55+E56+E54+E53+E52+E51+E50+E49+E48+E47</f>
        <v>2467000</v>
      </c>
      <c r="F46" s="325">
        <f>F47+F48+F49+F50+F51+F52+F53+F54+F55+F56</f>
        <v>2749480</v>
      </c>
      <c r="G46" s="323">
        <f aca="true" t="shared" si="4" ref="G46:G53">F46*100/E46</f>
        <v>111.45034454803405</v>
      </c>
      <c r="H46" s="84"/>
    </row>
    <row r="47" spans="1:8" s="29" customFormat="1" ht="21" customHeight="1">
      <c r="A47" s="361"/>
      <c r="B47" s="148" t="s">
        <v>185</v>
      </c>
      <c r="C47" s="329">
        <v>1650000</v>
      </c>
      <c r="D47" s="329">
        <v>0</v>
      </c>
      <c r="E47" s="329">
        <v>1650000</v>
      </c>
      <c r="F47" s="329">
        <v>1883919</v>
      </c>
      <c r="G47" s="332">
        <f t="shared" si="4"/>
        <v>114.17690909090909</v>
      </c>
      <c r="H47" s="81"/>
    </row>
    <row r="48" spans="1:8" s="29" customFormat="1" ht="20.25" customHeight="1">
      <c r="A48" s="361"/>
      <c r="B48" s="148" t="s">
        <v>106</v>
      </c>
      <c r="C48" s="329">
        <v>164000</v>
      </c>
      <c r="D48" s="329">
        <v>0</v>
      </c>
      <c r="E48" s="329">
        <v>164000</v>
      </c>
      <c r="F48" s="329">
        <v>154144</v>
      </c>
      <c r="G48" s="332">
        <f t="shared" si="4"/>
        <v>93.99024390243902</v>
      </c>
      <c r="H48" s="81"/>
    </row>
    <row r="49" spans="1:8" s="29" customFormat="1" ht="21" customHeight="1">
      <c r="A49" s="361"/>
      <c r="B49" s="148" t="s">
        <v>186</v>
      </c>
      <c r="C49" s="329">
        <v>210000</v>
      </c>
      <c r="D49" s="329">
        <v>0</v>
      </c>
      <c r="E49" s="329">
        <v>210000</v>
      </c>
      <c r="F49" s="329">
        <v>201694</v>
      </c>
      <c r="G49" s="332">
        <f t="shared" si="4"/>
        <v>96.0447619047619</v>
      </c>
      <c r="H49" s="81"/>
    </row>
    <row r="50" spans="1:8" s="29" customFormat="1" ht="21" customHeight="1">
      <c r="A50" s="361"/>
      <c r="B50" s="148" t="s">
        <v>108</v>
      </c>
      <c r="C50" s="329">
        <v>30000</v>
      </c>
      <c r="D50" s="329">
        <v>0</v>
      </c>
      <c r="E50" s="329">
        <v>30000</v>
      </c>
      <c r="F50" s="329">
        <v>33729</v>
      </c>
      <c r="G50" s="332">
        <f t="shared" si="4"/>
        <v>112.43</v>
      </c>
      <c r="H50" s="81"/>
    </row>
    <row r="51" spans="1:8" s="29" customFormat="1" ht="21" customHeight="1">
      <c r="A51" s="361"/>
      <c r="B51" s="148" t="s">
        <v>109</v>
      </c>
      <c r="C51" s="329">
        <v>6000</v>
      </c>
      <c r="D51" s="329">
        <v>0</v>
      </c>
      <c r="E51" s="329">
        <v>6000</v>
      </c>
      <c r="F51" s="329">
        <v>4450</v>
      </c>
      <c r="G51" s="332">
        <f t="shared" si="4"/>
        <v>74.16666666666667</v>
      </c>
      <c r="H51" s="81"/>
    </row>
    <row r="52" spans="1:8" s="29" customFormat="1" ht="21" customHeight="1">
      <c r="A52" s="361"/>
      <c r="B52" s="148" t="s">
        <v>110</v>
      </c>
      <c r="C52" s="329">
        <v>135000</v>
      </c>
      <c r="D52" s="329">
        <v>0</v>
      </c>
      <c r="E52" s="329">
        <v>135000</v>
      </c>
      <c r="F52" s="329">
        <v>137679</v>
      </c>
      <c r="G52" s="332">
        <f t="shared" si="4"/>
        <v>101.98444444444445</v>
      </c>
      <c r="H52" s="81"/>
    </row>
    <row r="53" spans="1:8" s="29" customFormat="1" ht="21" customHeight="1">
      <c r="A53" s="361"/>
      <c r="B53" s="148" t="s">
        <v>233</v>
      </c>
      <c r="C53" s="329">
        <v>2000</v>
      </c>
      <c r="D53" s="329">
        <v>0</v>
      </c>
      <c r="E53" s="329">
        <v>2000</v>
      </c>
      <c r="F53" s="329">
        <v>72</v>
      </c>
      <c r="G53" s="332">
        <f t="shared" si="4"/>
        <v>3.6</v>
      </c>
      <c r="H53" s="81"/>
    </row>
    <row r="54" spans="1:8" ht="21" customHeight="1">
      <c r="A54" s="361"/>
      <c r="B54" s="148" t="s">
        <v>112</v>
      </c>
      <c r="C54" s="329">
        <v>250000</v>
      </c>
      <c r="D54" s="329">
        <v>0</v>
      </c>
      <c r="E54" s="329">
        <v>250000</v>
      </c>
      <c r="F54" s="329">
        <v>314175</v>
      </c>
      <c r="G54" s="332">
        <f>F54*100/E54</f>
        <v>125.67</v>
      </c>
      <c r="H54" s="81"/>
    </row>
    <row r="55" spans="1:8" ht="21" customHeight="1">
      <c r="A55" s="361"/>
      <c r="B55" s="148" t="s">
        <v>174</v>
      </c>
      <c r="C55" s="329">
        <v>0</v>
      </c>
      <c r="D55" s="329">
        <v>0</v>
      </c>
      <c r="E55" s="329">
        <v>0</v>
      </c>
      <c r="F55" s="329">
        <v>4515</v>
      </c>
      <c r="G55" s="332">
        <v>0</v>
      </c>
      <c r="H55" s="81"/>
    </row>
    <row r="56" spans="1:8" ht="21" customHeight="1">
      <c r="A56" s="362"/>
      <c r="B56" s="350" t="s">
        <v>352</v>
      </c>
      <c r="C56" s="334">
        <v>20000</v>
      </c>
      <c r="D56" s="334">
        <v>0</v>
      </c>
      <c r="E56" s="334">
        <v>20000</v>
      </c>
      <c r="F56" s="334">
        <v>15103</v>
      </c>
      <c r="G56" s="336">
        <f aca="true" t="shared" si="5" ref="G56:G65">F56*100/E56</f>
        <v>75.515</v>
      </c>
      <c r="H56" s="81"/>
    </row>
    <row r="57" spans="1:8" s="24" customFormat="1" ht="54" customHeight="1">
      <c r="A57" s="359" t="s">
        <v>187</v>
      </c>
      <c r="B57" s="150" t="s">
        <v>219</v>
      </c>
      <c r="C57" s="320">
        <f>C60+C59+C58</f>
        <v>927000</v>
      </c>
      <c r="D57" s="320">
        <f>D58+D59+D60</f>
        <v>165000</v>
      </c>
      <c r="E57" s="320">
        <f>E60+E59+E58</f>
        <v>1092000</v>
      </c>
      <c r="F57" s="320">
        <f>F58+F59+F60</f>
        <v>1051181</v>
      </c>
      <c r="G57" s="356">
        <f t="shared" si="5"/>
        <v>96.26199633699633</v>
      </c>
      <c r="H57" s="84"/>
    </row>
    <row r="58" spans="1:8" ht="19.5" customHeight="1">
      <c r="A58" s="361"/>
      <c r="B58" s="148" t="s">
        <v>113</v>
      </c>
      <c r="C58" s="329">
        <v>450000</v>
      </c>
      <c r="D58" s="329">
        <v>165000</v>
      </c>
      <c r="E58" s="329">
        <v>615000</v>
      </c>
      <c r="F58" s="329">
        <v>687991</v>
      </c>
      <c r="G58" s="332">
        <f t="shared" si="5"/>
        <v>111.86845528455285</v>
      </c>
      <c r="H58" s="81"/>
    </row>
    <row r="59" spans="1:8" ht="19.5" customHeight="1">
      <c r="A59" s="361"/>
      <c r="B59" s="148" t="s">
        <v>114</v>
      </c>
      <c r="C59" s="329">
        <v>440000</v>
      </c>
      <c r="D59" s="329">
        <v>0</v>
      </c>
      <c r="E59" s="329">
        <v>440000</v>
      </c>
      <c r="F59" s="329">
        <v>307441</v>
      </c>
      <c r="G59" s="332">
        <f t="shared" si="5"/>
        <v>69.87295454545455</v>
      </c>
      <c r="H59" s="81"/>
    </row>
    <row r="60" spans="1:8" ht="18.75" customHeight="1">
      <c r="A60" s="361"/>
      <c r="B60" s="148" t="s">
        <v>161</v>
      </c>
      <c r="C60" s="329">
        <v>37000</v>
      </c>
      <c r="D60" s="329">
        <v>0</v>
      </c>
      <c r="E60" s="329">
        <v>37000</v>
      </c>
      <c r="F60" s="329">
        <v>55749</v>
      </c>
      <c r="G60" s="332">
        <f t="shared" si="5"/>
        <v>150.67297297297299</v>
      </c>
      <c r="H60" s="81"/>
    </row>
    <row r="61" spans="1:8" s="24" customFormat="1" ht="26.25" customHeight="1">
      <c r="A61" s="360" t="s">
        <v>188</v>
      </c>
      <c r="B61" s="357" t="s">
        <v>189</v>
      </c>
      <c r="C61" s="325">
        <f>C62</f>
        <v>250000</v>
      </c>
      <c r="D61" s="325">
        <f>D62</f>
        <v>0</v>
      </c>
      <c r="E61" s="325">
        <f>E62</f>
        <v>250000</v>
      </c>
      <c r="F61" s="325">
        <f>F62</f>
        <v>242456</v>
      </c>
      <c r="G61" s="323">
        <f t="shared" si="5"/>
        <v>96.9824</v>
      </c>
      <c r="H61" s="84"/>
    </row>
    <row r="62" spans="1:8" ht="61.5" customHeight="1">
      <c r="A62" s="361"/>
      <c r="B62" s="148" t="s">
        <v>351</v>
      </c>
      <c r="C62" s="329">
        <v>250000</v>
      </c>
      <c r="D62" s="329">
        <v>0</v>
      </c>
      <c r="E62" s="329">
        <v>250000</v>
      </c>
      <c r="F62" s="329">
        <v>242456</v>
      </c>
      <c r="G62" s="332">
        <f t="shared" si="5"/>
        <v>96.9824</v>
      </c>
      <c r="H62" s="81"/>
    </row>
    <row r="63" spans="1:8" s="24" customFormat="1" ht="39.75" customHeight="1">
      <c r="A63" s="360" t="s">
        <v>190</v>
      </c>
      <c r="B63" s="357" t="s">
        <v>220</v>
      </c>
      <c r="C63" s="325">
        <f>C65+C64</f>
        <v>6227338</v>
      </c>
      <c r="D63" s="325">
        <f>D64+D65</f>
        <v>0</v>
      </c>
      <c r="E63" s="325">
        <f>E65+E64</f>
        <v>6227338</v>
      </c>
      <c r="F63" s="325">
        <f>F64+F65</f>
        <v>6495497</v>
      </c>
      <c r="G63" s="323">
        <f t="shared" si="5"/>
        <v>104.30615778363082</v>
      </c>
      <c r="H63" s="84"/>
    </row>
    <row r="64" spans="1:8" ht="36" customHeight="1">
      <c r="A64" s="361"/>
      <c r="B64" s="148" t="s">
        <v>115</v>
      </c>
      <c r="C64" s="329">
        <v>5907338</v>
      </c>
      <c r="D64" s="329">
        <f>0</f>
        <v>0</v>
      </c>
      <c r="E64" s="329">
        <v>5907338</v>
      </c>
      <c r="F64" s="329">
        <v>6166630</v>
      </c>
      <c r="G64" s="332">
        <f t="shared" si="5"/>
        <v>104.38932053659364</v>
      </c>
      <c r="H64" s="81"/>
    </row>
    <row r="65" spans="1:8" ht="36.75" customHeight="1">
      <c r="A65" s="362"/>
      <c r="B65" s="350" t="s">
        <v>116</v>
      </c>
      <c r="C65" s="334">
        <v>320000</v>
      </c>
      <c r="D65" s="334">
        <v>0</v>
      </c>
      <c r="E65" s="334">
        <v>320000</v>
      </c>
      <c r="F65" s="334">
        <v>328867</v>
      </c>
      <c r="G65" s="336">
        <f t="shared" si="5"/>
        <v>102.7709375</v>
      </c>
      <c r="H65" s="81"/>
    </row>
    <row r="66" spans="1:8" s="24" customFormat="1" ht="20.25" customHeight="1">
      <c r="A66" s="360">
        <v>758</v>
      </c>
      <c r="B66" s="363" t="s">
        <v>36</v>
      </c>
      <c r="C66" s="325">
        <f>C71+C69+C67</f>
        <v>7974328</v>
      </c>
      <c r="D66" s="320">
        <f>D67+D69+D71</f>
        <v>20000</v>
      </c>
      <c r="E66" s="340">
        <f>E71+E69+E67</f>
        <v>7994328</v>
      </c>
      <c r="F66" s="325">
        <f>F67+F69+F71</f>
        <v>7999343</v>
      </c>
      <c r="G66" s="364">
        <f aca="true" t="shared" si="6" ref="G66:G85">F66*100/E66</f>
        <v>100.06273197697168</v>
      </c>
      <c r="H66" s="84"/>
    </row>
    <row r="67" spans="1:8" s="24" customFormat="1" ht="34.5" customHeight="1">
      <c r="A67" s="360" t="s">
        <v>191</v>
      </c>
      <c r="B67" s="363" t="s">
        <v>234</v>
      </c>
      <c r="C67" s="325">
        <f>C68</f>
        <v>7534613</v>
      </c>
      <c r="D67" s="325">
        <f>D68</f>
        <v>0</v>
      </c>
      <c r="E67" s="340">
        <f>E68</f>
        <v>7534613</v>
      </c>
      <c r="F67" s="325">
        <f>F68</f>
        <v>7534613</v>
      </c>
      <c r="G67" s="364">
        <f t="shared" si="6"/>
        <v>100</v>
      </c>
      <c r="H67" s="84"/>
    </row>
    <row r="68" spans="1:8" ht="21.75" customHeight="1">
      <c r="A68" s="361"/>
      <c r="B68" s="365" t="s">
        <v>354</v>
      </c>
      <c r="C68" s="329">
        <v>7534613</v>
      </c>
      <c r="D68" s="329">
        <v>0</v>
      </c>
      <c r="E68" s="358">
        <v>7534613</v>
      </c>
      <c r="F68" s="329">
        <v>7534613</v>
      </c>
      <c r="G68" s="366">
        <f t="shared" si="6"/>
        <v>100</v>
      </c>
      <c r="H68" s="81"/>
    </row>
    <row r="69" spans="1:8" s="24" customFormat="1" ht="27" customHeight="1">
      <c r="A69" s="360" t="s">
        <v>193</v>
      </c>
      <c r="B69" s="367" t="s">
        <v>194</v>
      </c>
      <c r="C69" s="325">
        <f>C70</f>
        <v>20000</v>
      </c>
      <c r="D69" s="325">
        <f>D70</f>
        <v>20000</v>
      </c>
      <c r="E69" s="340">
        <f>E70</f>
        <v>40000</v>
      </c>
      <c r="F69" s="325">
        <f>F70</f>
        <v>45015</v>
      </c>
      <c r="G69" s="364">
        <f t="shared" si="6"/>
        <v>112.5375</v>
      </c>
      <c r="H69" s="84"/>
    </row>
    <row r="70" spans="1:8" ht="24" customHeight="1">
      <c r="A70" s="368"/>
      <c r="B70" s="369" t="s">
        <v>355</v>
      </c>
      <c r="C70" s="370">
        <v>20000</v>
      </c>
      <c r="D70" s="329">
        <v>20000</v>
      </c>
      <c r="E70" s="232">
        <v>40000</v>
      </c>
      <c r="F70" s="370">
        <v>45015</v>
      </c>
      <c r="G70" s="371">
        <f t="shared" si="6"/>
        <v>112.5375</v>
      </c>
      <c r="H70" s="81"/>
    </row>
    <row r="71" spans="1:8" s="24" customFormat="1" ht="27" customHeight="1">
      <c r="A71" s="360" t="s">
        <v>196</v>
      </c>
      <c r="B71" s="367" t="s">
        <v>195</v>
      </c>
      <c r="C71" s="325">
        <f>C72</f>
        <v>419715</v>
      </c>
      <c r="D71" s="325">
        <f>D72</f>
        <v>0</v>
      </c>
      <c r="E71" s="340">
        <f>E72</f>
        <v>419715</v>
      </c>
      <c r="F71" s="325">
        <f>F72</f>
        <v>419715</v>
      </c>
      <c r="G71" s="364">
        <f t="shared" si="6"/>
        <v>100</v>
      </c>
      <c r="H71" s="84"/>
    </row>
    <row r="72" spans="1:8" s="30" customFormat="1" ht="23.25" customHeight="1">
      <c r="A72" s="362"/>
      <c r="B72" s="372" t="s">
        <v>192</v>
      </c>
      <c r="C72" s="334">
        <v>419715</v>
      </c>
      <c r="D72" s="334">
        <v>0</v>
      </c>
      <c r="E72" s="373">
        <v>419715</v>
      </c>
      <c r="F72" s="334">
        <v>419715</v>
      </c>
      <c r="G72" s="374">
        <f t="shared" si="6"/>
        <v>100</v>
      </c>
      <c r="H72" s="81"/>
    </row>
    <row r="73" spans="1:8" s="24" customFormat="1" ht="27" customHeight="1">
      <c r="A73" s="359">
        <v>801</v>
      </c>
      <c r="B73" s="375" t="s">
        <v>7</v>
      </c>
      <c r="C73" s="320">
        <f>C89+C84+C78+C74</f>
        <v>718898</v>
      </c>
      <c r="D73" s="320">
        <f>D74+D78+D84+D89</f>
        <v>26673</v>
      </c>
      <c r="E73" s="320">
        <f>E89+E84+E78+E74</f>
        <v>745571</v>
      </c>
      <c r="F73" s="320">
        <f>F74+F78+F84+F89</f>
        <v>743701</v>
      </c>
      <c r="G73" s="356">
        <f t="shared" si="6"/>
        <v>99.74918552357857</v>
      </c>
      <c r="H73" s="84"/>
    </row>
    <row r="74" spans="1:8" s="24" customFormat="1" ht="21.75" customHeight="1">
      <c r="A74" s="360" t="s">
        <v>208</v>
      </c>
      <c r="B74" s="376" t="s">
        <v>39</v>
      </c>
      <c r="C74" s="325">
        <f>C75+C76+C77</f>
        <v>1270</v>
      </c>
      <c r="D74" s="325">
        <f>D75+D76+D77</f>
        <v>3333</v>
      </c>
      <c r="E74" s="325">
        <f>E75+E76+E77</f>
        <v>4603</v>
      </c>
      <c r="F74" s="325">
        <f>F75+F76+F77</f>
        <v>5277</v>
      </c>
      <c r="G74" s="323">
        <f t="shared" si="6"/>
        <v>114.64262437540734</v>
      </c>
      <c r="H74" s="84"/>
    </row>
    <row r="75" spans="1:8" s="29" customFormat="1" ht="23.25" customHeight="1">
      <c r="A75" s="361"/>
      <c r="B75" s="148" t="s">
        <v>356</v>
      </c>
      <c r="C75" s="329">
        <v>425</v>
      </c>
      <c r="D75" s="329">
        <v>0</v>
      </c>
      <c r="E75" s="329">
        <v>425</v>
      </c>
      <c r="F75" s="329">
        <v>1064</v>
      </c>
      <c r="G75" s="332">
        <f t="shared" si="6"/>
        <v>250.35294117647058</v>
      </c>
      <c r="H75" s="81"/>
    </row>
    <row r="76" spans="1:8" s="29" customFormat="1" ht="23.25" customHeight="1">
      <c r="A76" s="361"/>
      <c r="B76" s="148" t="s">
        <v>357</v>
      </c>
      <c r="C76" s="329">
        <v>0</v>
      </c>
      <c r="D76" s="329">
        <v>3333</v>
      </c>
      <c r="E76" s="329">
        <v>3333</v>
      </c>
      <c r="F76" s="329">
        <v>3333</v>
      </c>
      <c r="G76" s="332">
        <f>F76*100/E76</f>
        <v>100</v>
      </c>
      <c r="H76" s="81"/>
    </row>
    <row r="77" spans="1:8" s="29" customFormat="1" ht="23.25" customHeight="1">
      <c r="A77" s="361"/>
      <c r="B77" s="148" t="s">
        <v>358</v>
      </c>
      <c r="C77" s="329">
        <v>845</v>
      </c>
      <c r="D77" s="329">
        <v>0</v>
      </c>
      <c r="E77" s="329">
        <v>845</v>
      </c>
      <c r="F77" s="329">
        <v>880</v>
      </c>
      <c r="G77" s="332">
        <f>F77*100/E77</f>
        <v>104.14201183431953</v>
      </c>
      <c r="H77" s="81"/>
    </row>
    <row r="78" spans="1:8" s="24" customFormat="1" ht="21.75" customHeight="1">
      <c r="A78" s="360" t="s">
        <v>74</v>
      </c>
      <c r="B78" s="376" t="s">
        <v>40</v>
      </c>
      <c r="C78" s="325">
        <f>C79+C80+C81+C82+C83</f>
        <v>702000</v>
      </c>
      <c r="D78" s="325">
        <f>D79+D80+D81+D82+D83</f>
        <v>22540</v>
      </c>
      <c r="E78" s="325">
        <f>E79+E80+E81+E82+E83</f>
        <v>724540</v>
      </c>
      <c r="F78" s="325">
        <f>F79+F80+F81+F82+F83</f>
        <v>719480</v>
      </c>
      <c r="G78" s="323">
        <f t="shared" si="6"/>
        <v>99.30162585916581</v>
      </c>
      <c r="H78" s="84"/>
    </row>
    <row r="79" spans="1:8" ht="24.75" customHeight="1">
      <c r="A79" s="361"/>
      <c r="B79" s="148" t="s">
        <v>210</v>
      </c>
      <c r="C79" s="329">
        <v>410500</v>
      </c>
      <c r="D79" s="173">
        <v>0</v>
      </c>
      <c r="E79" s="329">
        <v>410500</v>
      </c>
      <c r="F79" s="329">
        <v>415507</v>
      </c>
      <c r="G79" s="332">
        <f>F79*100/E79</f>
        <v>101.21973203410475</v>
      </c>
      <c r="H79" s="81"/>
    </row>
    <row r="80" spans="1:8" ht="36.75" customHeight="1">
      <c r="A80" s="361"/>
      <c r="B80" s="148" t="s">
        <v>121</v>
      </c>
      <c r="C80" s="329">
        <v>291000</v>
      </c>
      <c r="D80" s="329">
        <v>20300</v>
      </c>
      <c r="E80" s="329">
        <v>311300</v>
      </c>
      <c r="F80" s="329">
        <v>300947</v>
      </c>
      <c r="G80" s="332">
        <f t="shared" si="6"/>
        <v>96.67426919370382</v>
      </c>
      <c r="H80" s="81"/>
    </row>
    <row r="81" spans="1:8" ht="23.25" customHeight="1">
      <c r="A81" s="361"/>
      <c r="B81" s="148" t="s">
        <v>356</v>
      </c>
      <c r="C81" s="329">
        <v>250</v>
      </c>
      <c r="D81" s="173">
        <v>600</v>
      </c>
      <c r="E81" s="329">
        <v>850</v>
      </c>
      <c r="F81" s="329">
        <v>1002</v>
      </c>
      <c r="G81" s="332">
        <f>F81*100/E81</f>
        <v>117.88235294117646</v>
      </c>
      <c r="H81" s="81"/>
    </row>
    <row r="82" spans="1:8" ht="23.25" customHeight="1">
      <c r="A82" s="361"/>
      <c r="B82" s="148" t="s">
        <v>359</v>
      </c>
      <c r="C82" s="329">
        <v>0</v>
      </c>
      <c r="D82" s="173">
        <v>890</v>
      </c>
      <c r="E82" s="329">
        <v>890</v>
      </c>
      <c r="F82" s="329">
        <v>889</v>
      </c>
      <c r="G82" s="332">
        <f>F82*100/E82</f>
        <v>99.88764044943821</v>
      </c>
      <c r="H82" s="81"/>
    </row>
    <row r="83" spans="1:8" ht="23.25" customHeight="1">
      <c r="A83" s="361"/>
      <c r="B83" s="148" t="s">
        <v>360</v>
      </c>
      <c r="C83" s="329">
        <v>250</v>
      </c>
      <c r="D83" s="173">
        <v>750</v>
      </c>
      <c r="E83" s="329">
        <v>1000</v>
      </c>
      <c r="F83" s="329">
        <v>1135</v>
      </c>
      <c r="G83" s="332">
        <f>F83*100/E83</f>
        <v>113.5</v>
      </c>
      <c r="H83" s="81"/>
    </row>
    <row r="84" spans="1:8" s="24" customFormat="1" ht="22.5" customHeight="1">
      <c r="A84" s="360" t="s">
        <v>209</v>
      </c>
      <c r="B84" s="357" t="s">
        <v>41</v>
      </c>
      <c r="C84" s="325">
        <f>C85+C86+C87+C88</f>
        <v>15628</v>
      </c>
      <c r="D84" s="325">
        <f>D85+D86+D87+D88</f>
        <v>0</v>
      </c>
      <c r="E84" s="325">
        <f>E85+E86+E87+E88</f>
        <v>15628</v>
      </c>
      <c r="F84" s="325">
        <f>F85+F86+F87+F88</f>
        <v>18144</v>
      </c>
      <c r="G84" s="323">
        <f t="shared" si="6"/>
        <v>116.09930893268492</v>
      </c>
      <c r="H84" s="84"/>
    </row>
    <row r="85" spans="1:8" ht="61.5" customHeight="1">
      <c r="A85" s="361"/>
      <c r="B85" s="148" t="s">
        <v>361</v>
      </c>
      <c r="C85" s="329">
        <v>2490</v>
      </c>
      <c r="D85" s="329">
        <v>0</v>
      </c>
      <c r="E85" s="329">
        <v>2490</v>
      </c>
      <c r="F85" s="329">
        <v>3565</v>
      </c>
      <c r="G85" s="332">
        <f t="shared" si="6"/>
        <v>143.1726907630522</v>
      </c>
      <c r="H85" s="81"/>
    </row>
    <row r="86" spans="1:8" ht="18" customHeight="1">
      <c r="A86" s="361"/>
      <c r="B86" s="148" t="s">
        <v>362</v>
      </c>
      <c r="C86" s="329">
        <v>5176</v>
      </c>
      <c r="D86" s="329">
        <v>0</v>
      </c>
      <c r="E86" s="329">
        <v>5176</v>
      </c>
      <c r="F86" s="329">
        <v>528</v>
      </c>
      <c r="G86" s="332">
        <f>F86*100/E86</f>
        <v>10.200927357032457</v>
      </c>
      <c r="H86" s="81"/>
    </row>
    <row r="87" spans="1:8" ht="18.75" customHeight="1">
      <c r="A87" s="361"/>
      <c r="B87" s="148" t="s">
        <v>356</v>
      </c>
      <c r="C87" s="329">
        <v>270</v>
      </c>
      <c r="D87" s="329">
        <v>0</v>
      </c>
      <c r="E87" s="329">
        <v>270</v>
      </c>
      <c r="F87" s="329">
        <v>869</v>
      </c>
      <c r="G87" s="332">
        <f>F87*100/E87</f>
        <v>321.85185185185185</v>
      </c>
      <c r="H87" s="81"/>
    </row>
    <row r="88" spans="1:8" ht="17.25" customHeight="1">
      <c r="A88" s="361"/>
      <c r="B88" s="148" t="s">
        <v>363</v>
      </c>
      <c r="C88" s="329">
        <v>7692</v>
      </c>
      <c r="D88" s="329">
        <v>0</v>
      </c>
      <c r="E88" s="329">
        <v>7692</v>
      </c>
      <c r="F88" s="329">
        <v>13182</v>
      </c>
      <c r="G88" s="332">
        <f>F88*100/E88</f>
        <v>171.37285491419658</v>
      </c>
      <c r="H88" s="81"/>
    </row>
    <row r="89" spans="1:8" s="24" customFormat="1" ht="27.75" customHeight="1">
      <c r="A89" s="360" t="s">
        <v>211</v>
      </c>
      <c r="B89" s="357" t="s">
        <v>197</v>
      </c>
      <c r="C89" s="325">
        <f>C90</f>
        <v>0</v>
      </c>
      <c r="D89" s="325">
        <f>D90</f>
        <v>800</v>
      </c>
      <c r="E89" s="325">
        <f>E90</f>
        <v>800</v>
      </c>
      <c r="F89" s="325">
        <f>F90</f>
        <v>800</v>
      </c>
      <c r="G89" s="323">
        <v>0</v>
      </c>
      <c r="H89" s="84"/>
    </row>
    <row r="90" spans="1:8" s="29" customFormat="1" ht="40.5" customHeight="1">
      <c r="A90" s="362"/>
      <c r="B90" s="350" t="s">
        <v>224</v>
      </c>
      <c r="C90" s="334">
        <v>0</v>
      </c>
      <c r="D90" s="334">
        <v>800</v>
      </c>
      <c r="E90" s="334">
        <v>800</v>
      </c>
      <c r="F90" s="334">
        <v>800</v>
      </c>
      <c r="G90" s="336">
        <v>0</v>
      </c>
      <c r="H90" s="81"/>
    </row>
    <row r="91" spans="1:8" s="24" customFormat="1" ht="25.5" customHeight="1">
      <c r="A91" s="359">
        <v>852</v>
      </c>
      <c r="B91" s="377" t="s">
        <v>8</v>
      </c>
      <c r="C91" s="320">
        <f>C108+C104+C100+C97+C95+C92</f>
        <v>2928435</v>
      </c>
      <c r="D91" s="355">
        <f>D92+D95+D97+D100+D108</f>
        <v>595759</v>
      </c>
      <c r="E91" s="320">
        <f>E108+E104+E100+E97+E95+E92</f>
        <v>3524194</v>
      </c>
      <c r="F91" s="355">
        <f>F92+F95+F97+F100+F104+F108</f>
        <v>3521969</v>
      </c>
      <c r="G91" s="356">
        <f aca="true" t="shared" si="7" ref="G91:G106">F91*100/E91</f>
        <v>99.93686499664888</v>
      </c>
      <c r="H91" s="84"/>
    </row>
    <row r="92" spans="1:8" s="24" customFormat="1" ht="45" customHeight="1">
      <c r="A92" s="360" t="s">
        <v>152</v>
      </c>
      <c r="B92" s="363" t="s">
        <v>153</v>
      </c>
      <c r="C92" s="325">
        <f>C93+C94</f>
        <v>2197500</v>
      </c>
      <c r="D92" s="340">
        <f>D93+D94</f>
        <v>403981</v>
      </c>
      <c r="E92" s="325">
        <f>E93+E94</f>
        <v>2601481</v>
      </c>
      <c r="F92" s="340">
        <f>F93+F94</f>
        <v>2598366</v>
      </c>
      <c r="G92" s="323">
        <f t="shared" si="7"/>
        <v>99.88026051314617</v>
      </c>
      <c r="H92" s="84"/>
    </row>
    <row r="93" spans="1:8" s="29" customFormat="1" ht="48.75" customHeight="1">
      <c r="A93" s="361"/>
      <c r="B93" s="378" t="s">
        <v>102</v>
      </c>
      <c r="C93" s="329">
        <v>2197500</v>
      </c>
      <c r="D93" s="358">
        <v>395981</v>
      </c>
      <c r="E93" s="329">
        <v>2593481</v>
      </c>
      <c r="F93" s="358">
        <v>2590366</v>
      </c>
      <c r="G93" s="332">
        <f t="shared" si="7"/>
        <v>99.87989115786851</v>
      </c>
      <c r="H93" s="81"/>
    </row>
    <row r="94" spans="1:8" s="29" customFormat="1" ht="36" customHeight="1">
      <c r="A94" s="361"/>
      <c r="B94" s="379" t="s">
        <v>267</v>
      </c>
      <c r="C94" s="329">
        <v>0</v>
      </c>
      <c r="D94" s="358">
        <v>8000</v>
      </c>
      <c r="E94" s="329">
        <v>8000</v>
      </c>
      <c r="F94" s="358">
        <v>8000</v>
      </c>
      <c r="G94" s="332">
        <f>F94*100/E94</f>
        <v>100</v>
      </c>
      <c r="H94" s="81"/>
    </row>
    <row r="95" spans="1:8" s="24" customFormat="1" ht="55.5" customHeight="1">
      <c r="A95" s="360" t="s">
        <v>212</v>
      </c>
      <c r="B95" s="363" t="s">
        <v>213</v>
      </c>
      <c r="C95" s="325">
        <f>C96</f>
        <v>36800</v>
      </c>
      <c r="D95" s="340">
        <f>D96</f>
        <v>-15288</v>
      </c>
      <c r="E95" s="325">
        <f>E96</f>
        <v>21512</v>
      </c>
      <c r="F95" s="340">
        <f>F96</f>
        <v>21512</v>
      </c>
      <c r="G95" s="323">
        <f t="shared" si="7"/>
        <v>100</v>
      </c>
      <c r="H95" s="84"/>
    </row>
    <row r="96" spans="1:8" s="29" customFormat="1" ht="50.25" customHeight="1">
      <c r="A96" s="361"/>
      <c r="B96" s="378" t="s">
        <v>102</v>
      </c>
      <c r="C96" s="329">
        <v>36800</v>
      </c>
      <c r="D96" s="358">
        <v>-15288</v>
      </c>
      <c r="E96" s="329">
        <v>21512</v>
      </c>
      <c r="F96" s="358">
        <v>21512</v>
      </c>
      <c r="G96" s="332">
        <f t="shared" si="7"/>
        <v>100</v>
      </c>
      <c r="H96" s="81"/>
    </row>
    <row r="97" spans="1:8" s="24" customFormat="1" ht="37.5" customHeight="1">
      <c r="A97" s="360" t="s">
        <v>214</v>
      </c>
      <c r="B97" s="363" t="s">
        <v>221</v>
      </c>
      <c r="C97" s="325">
        <f>C99+C98</f>
        <v>328900</v>
      </c>
      <c r="D97" s="340">
        <f>D98+D99</f>
        <v>66866</v>
      </c>
      <c r="E97" s="325">
        <f>E99+E98</f>
        <v>395766</v>
      </c>
      <c r="F97" s="340">
        <f>F98+F99</f>
        <v>393775</v>
      </c>
      <c r="G97" s="323">
        <f t="shared" si="7"/>
        <v>99.49692495060212</v>
      </c>
      <c r="H97" s="84"/>
    </row>
    <row r="98" spans="1:8" s="29" customFormat="1" ht="57.75" customHeight="1">
      <c r="A98" s="361"/>
      <c r="B98" s="378" t="s">
        <v>102</v>
      </c>
      <c r="C98" s="329">
        <v>203900</v>
      </c>
      <c r="D98" s="358">
        <v>29236</v>
      </c>
      <c r="E98" s="329">
        <v>233136</v>
      </c>
      <c r="F98" s="358">
        <v>231145</v>
      </c>
      <c r="G98" s="332">
        <f t="shared" si="7"/>
        <v>99.14599203898153</v>
      </c>
      <c r="H98" s="81"/>
    </row>
    <row r="99" spans="1:8" s="29" customFormat="1" ht="41.25" customHeight="1">
      <c r="A99" s="361"/>
      <c r="B99" s="378" t="s">
        <v>117</v>
      </c>
      <c r="C99" s="329">
        <v>125000</v>
      </c>
      <c r="D99" s="358">
        <v>37630</v>
      </c>
      <c r="E99" s="329">
        <v>162630</v>
      </c>
      <c r="F99" s="358">
        <v>162630</v>
      </c>
      <c r="G99" s="332">
        <f t="shared" si="7"/>
        <v>100</v>
      </c>
      <c r="H99" s="81"/>
    </row>
    <row r="100" spans="1:8" s="24" customFormat="1" ht="29.25" customHeight="1">
      <c r="A100" s="360" t="s">
        <v>215</v>
      </c>
      <c r="B100" s="363" t="s">
        <v>20</v>
      </c>
      <c r="C100" s="325">
        <f>C103+C102+C101</f>
        <v>339000</v>
      </c>
      <c r="D100" s="340">
        <f>D101+D102+D103</f>
        <v>13000</v>
      </c>
      <c r="E100" s="325">
        <f>E101+E102+E103</f>
        <v>352000</v>
      </c>
      <c r="F100" s="340">
        <f>F101+F102+F103</f>
        <v>352193</v>
      </c>
      <c r="G100" s="323">
        <f t="shared" si="7"/>
        <v>100.05482954545455</v>
      </c>
      <c r="H100" s="84"/>
    </row>
    <row r="101" spans="1:8" ht="57.75" customHeight="1">
      <c r="A101" s="362"/>
      <c r="B101" s="380" t="s">
        <v>102</v>
      </c>
      <c r="C101" s="334">
        <v>0</v>
      </c>
      <c r="D101" s="373">
        <v>142600</v>
      </c>
      <c r="E101" s="334">
        <v>142600</v>
      </c>
      <c r="F101" s="373">
        <v>142595</v>
      </c>
      <c r="G101" s="336">
        <f t="shared" si="7"/>
        <v>99.99649368863955</v>
      </c>
      <c r="H101" s="81"/>
    </row>
    <row r="102" spans="1:8" ht="37.5" customHeight="1">
      <c r="A102" s="381"/>
      <c r="B102" s="382" t="s">
        <v>117</v>
      </c>
      <c r="C102" s="383">
        <v>338500</v>
      </c>
      <c r="D102" s="384">
        <v>-129600</v>
      </c>
      <c r="E102" s="383">
        <v>208900</v>
      </c>
      <c r="F102" s="384">
        <v>208900</v>
      </c>
      <c r="G102" s="385">
        <f t="shared" si="7"/>
        <v>100</v>
      </c>
      <c r="H102" s="81"/>
    </row>
    <row r="103" spans="1:8" ht="31.5" customHeight="1">
      <c r="A103" s="361"/>
      <c r="B103" s="378" t="s">
        <v>364</v>
      </c>
      <c r="C103" s="329">
        <v>500</v>
      </c>
      <c r="D103" s="358">
        <v>0</v>
      </c>
      <c r="E103" s="329">
        <v>500</v>
      </c>
      <c r="F103" s="358">
        <f>658+40</f>
        <v>698</v>
      </c>
      <c r="G103" s="332">
        <f t="shared" si="7"/>
        <v>139.6</v>
      </c>
      <c r="H103" s="81"/>
    </row>
    <row r="104" spans="1:8" s="24" customFormat="1" ht="39" customHeight="1">
      <c r="A104" s="360" t="s">
        <v>216</v>
      </c>
      <c r="B104" s="363" t="s">
        <v>222</v>
      </c>
      <c r="C104" s="325">
        <f>C107+C106+C105</f>
        <v>26235</v>
      </c>
      <c r="D104" s="340">
        <f>D105+D106+D107</f>
        <v>0</v>
      </c>
      <c r="E104" s="325">
        <f>E105+E106+E107</f>
        <v>26235</v>
      </c>
      <c r="F104" s="340">
        <f>F105+F106+F107</f>
        <v>28923</v>
      </c>
      <c r="G104" s="323">
        <f t="shared" si="7"/>
        <v>110.24585477415665</v>
      </c>
      <c r="H104" s="84"/>
    </row>
    <row r="105" spans="1:8" ht="26.25" customHeight="1">
      <c r="A105" s="361"/>
      <c r="B105" s="378" t="s">
        <v>120</v>
      </c>
      <c r="C105" s="329">
        <v>26000</v>
      </c>
      <c r="D105" s="358">
        <v>0</v>
      </c>
      <c r="E105" s="329">
        <v>26000</v>
      </c>
      <c r="F105" s="358">
        <v>28520</v>
      </c>
      <c r="G105" s="332">
        <f t="shared" si="7"/>
        <v>109.6923076923077</v>
      </c>
      <c r="H105" s="81"/>
    </row>
    <row r="106" spans="1:8" ht="51" customHeight="1">
      <c r="A106" s="361"/>
      <c r="B106" s="378" t="s">
        <v>173</v>
      </c>
      <c r="C106" s="329">
        <v>235</v>
      </c>
      <c r="D106" s="358">
        <v>0</v>
      </c>
      <c r="E106" s="329">
        <v>235</v>
      </c>
      <c r="F106" s="358">
        <v>372</v>
      </c>
      <c r="G106" s="332">
        <f t="shared" si="7"/>
        <v>158.29787234042553</v>
      </c>
      <c r="H106" s="81"/>
    </row>
    <row r="107" spans="1:8" ht="26.25" customHeight="1">
      <c r="A107" s="361"/>
      <c r="B107" s="378" t="s">
        <v>365</v>
      </c>
      <c r="C107" s="329">
        <v>0</v>
      </c>
      <c r="D107" s="358">
        <v>0</v>
      </c>
      <c r="E107" s="329">
        <v>0</v>
      </c>
      <c r="F107" s="358">
        <v>31</v>
      </c>
      <c r="G107" s="332">
        <v>0</v>
      </c>
      <c r="H107" s="81"/>
    </row>
    <row r="108" spans="1:8" s="24" customFormat="1" ht="27" customHeight="1">
      <c r="A108" s="360" t="s">
        <v>217</v>
      </c>
      <c r="B108" s="363" t="s">
        <v>197</v>
      </c>
      <c r="C108" s="325">
        <f>C109</f>
        <v>0</v>
      </c>
      <c r="D108" s="340">
        <f>D109</f>
        <v>127200</v>
      </c>
      <c r="E108" s="325">
        <f>E109</f>
        <v>127200</v>
      </c>
      <c r="F108" s="340">
        <f>F109</f>
        <v>127200</v>
      </c>
      <c r="G108" s="323">
        <f aca="true" t="shared" si="8" ref="G108:G120">F108*100/E108</f>
        <v>100</v>
      </c>
      <c r="H108" s="84"/>
    </row>
    <row r="109" spans="1:8" ht="38.25" customHeight="1">
      <c r="A109" s="362"/>
      <c r="B109" s="380" t="s">
        <v>117</v>
      </c>
      <c r="C109" s="334">
        <v>0</v>
      </c>
      <c r="D109" s="373">
        <v>127200</v>
      </c>
      <c r="E109" s="334">
        <v>127200</v>
      </c>
      <c r="F109" s="373">
        <v>127200</v>
      </c>
      <c r="G109" s="336">
        <f t="shared" si="8"/>
        <v>100</v>
      </c>
      <c r="H109" s="81"/>
    </row>
    <row r="110" spans="1:8" s="24" customFormat="1" ht="32.25" customHeight="1">
      <c r="A110" s="342" t="s">
        <v>156</v>
      </c>
      <c r="B110" s="357" t="s">
        <v>157</v>
      </c>
      <c r="C110" s="339">
        <f>C112</f>
        <v>47946</v>
      </c>
      <c r="D110" s="340">
        <f aca="true" t="shared" si="9" ref="D110:F111">D111</f>
        <v>0</v>
      </c>
      <c r="E110" s="343">
        <f t="shared" si="9"/>
        <v>47946</v>
      </c>
      <c r="F110" s="325">
        <f t="shared" si="9"/>
        <v>47932</v>
      </c>
      <c r="G110" s="323">
        <f t="shared" si="8"/>
        <v>99.9708004838777</v>
      </c>
      <c r="H110" s="84"/>
    </row>
    <row r="111" spans="1:8" s="24" customFormat="1" ht="26.25" customHeight="1">
      <c r="A111" s="342" t="s">
        <v>158</v>
      </c>
      <c r="B111" s="357" t="s">
        <v>197</v>
      </c>
      <c r="C111" s="339">
        <f>C112</f>
        <v>47946</v>
      </c>
      <c r="D111" s="340">
        <f t="shared" si="9"/>
        <v>0</v>
      </c>
      <c r="E111" s="343">
        <f t="shared" si="9"/>
        <v>47946</v>
      </c>
      <c r="F111" s="325">
        <f t="shared" si="9"/>
        <v>47932</v>
      </c>
      <c r="G111" s="323">
        <f t="shared" si="8"/>
        <v>99.9708004838777</v>
      </c>
      <c r="H111" s="84"/>
    </row>
    <row r="112" spans="1:8" ht="56.25" customHeight="1">
      <c r="A112" s="344"/>
      <c r="B112" s="148" t="s">
        <v>235</v>
      </c>
      <c r="C112" s="345">
        <v>47946</v>
      </c>
      <c r="D112" s="358">
        <v>0</v>
      </c>
      <c r="E112" s="347">
        <v>47946</v>
      </c>
      <c r="F112" s="329">
        <v>47932</v>
      </c>
      <c r="G112" s="332">
        <f t="shared" si="8"/>
        <v>99.9708004838777</v>
      </c>
      <c r="H112" s="81"/>
    </row>
    <row r="113" spans="1:8" s="24" customFormat="1" ht="26.25" customHeight="1">
      <c r="A113" s="359">
        <v>854</v>
      </c>
      <c r="B113" s="150" t="s">
        <v>48</v>
      </c>
      <c r="C113" s="320">
        <f>C116+C114</f>
        <v>292000</v>
      </c>
      <c r="D113" s="320">
        <f>D114+D116</f>
        <v>263408</v>
      </c>
      <c r="E113" s="320">
        <f>E114+E116</f>
        <v>555408</v>
      </c>
      <c r="F113" s="320">
        <f>F114+F116</f>
        <v>476177</v>
      </c>
      <c r="G113" s="356">
        <f t="shared" si="8"/>
        <v>85.73463111802495</v>
      </c>
      <c r="H113" s="84"/>
    </row>
    <row r="114" spans="1:8" s="24" customFormat="1" ht="26.25" customHeight="1">
      <c r="A114" s="360" t="s">
        <v>198</v>
      </c>
      <c r="B114" s="357" t="s">
        <v>49</v>
      </c>
      <c r="C114" s="325">
        <f>C115</f>
        <v>292000</v>
      </c>
      <c r="D114" s="325">
        <f>D115</f>
        <v>170000</v>
      </c>
      <c r="E114" s="325">
        <f>E115</f>
        <v>462000</v>
      </c>
      <c r="F114" s="325">
        <f>F115</f>
        <v>382769</v>
      </c>
      <c r="G114" s="323">
        <f t="shared" si="8"/>
        <v>82.8504329004329</v>
      </c>
      <c r="H114" s="84"/>
    </row>
    <row r="115" spans="1:8" ht="22.5" customHeight="1">
      <c r="A115" s="362"/>
      <c r="B115" s="350" t="s">
        <v>119</v>
      </c>
      <c r="C115" s="334">
        <f>222000+70000</f>
        <v>292000</v>
      </c>
      <c r="D115" s="334">
        <v>170000</v>
      </c>
      <c r="E115" s="334">
        <v>462000</v>
      </c>
      <c r="F115" s="334">
        <v>382769</v>
      </c>
      <c r="G115" s="336">
        <f t="shared" si="8"/>
        <v>82.8504329004329</v>
      </c>
      <c r="H115" s="81"/>
    </row>
    <row r="116" spans="1:8" s="24" customFormat="1" ht="26.25" customHeight="1">
      <c r="A116" s="359" t="s">
        <v>199</v>
      </c>
      <c r="B116" s="150" t="s">
        <v>200</v>
      </c>
      <c r="C116" s="320">
        <f>C117</f>
        <v>0</v>
      </c>
      <c r="D116" s="320">
        <f>D117</f>
        <v>93408</v>
      </c>
      <c r="E116" s="320">
        <f>E117</f>
        <v>93408</v>
      </c>
      <c r="F116" s="320">
        <f>F117</f>
        <v>93408</v>
      </c>
      <c r="G116" s="356">
        <f t="shared" si="8"/>
        <v>100</v>
      </c>
      <c r="H116" s="84"/>
    </row>
    <row r="117" spans="1:8" ht="38.25" customHeight="1">
      <c r="A117" s="362"/>
      <c r="B117" s="350" t="s">
        <v>117</v>
      </c>
      <c r="C117" s="334">
        <v>0</v>
      </c>
      <c r="D117" s="334">
        <v>93408</v>
      </c>
      <c r="E117" s="334">
        <v>93408</v>
      </c>
      <c r="F117" s="334">
        <v>93408</v>
      </c>
      <c r="G117" s="336">
        <f t="shared" si="8"/>
        <v>100</v>
      </c>
      <c r="H117" s="81"/>
    </row>
    <row r="118" spans="1:8" s="24" customFormat="1" ht="41.25" customHeight="1">
      <c r="A118" s="359">
        <v>900</v>
      </c>
      <c r="B118" s="377" t="s">
        <v>9</v>
      </c>
      <c r="C118" s="320">
        <f>C123+C121+C119</f>
        <v>420000</v>
      </c>
      <c r="D118" s="355">
        <f>D119+D121+D123+D125</f>
        <v>425760</v>
      </c>
      <c r="E118" s="320">
        <f>E119+E121+E123+E125</f>
        <v>845760</v>
      </c>
      <c r="F118" s="355">
        <f>F119+F121+F123+F125</f>
        <v>865819</v>
      </c>
      <c r="G118" s="356">
        <f t="shared" si="8"/>
        <v>102.37171301551267</v>
      </c>
      <c r="H118" s="84"/>
    </row>
    <row r="119" spans="1:8" s="24" customFormat="1" ht="31.5" customHeight="1">
      <c r="A119" s="360" t="s">
        <v>201</v>
      </c>
      <c r="B119" s="363" t="s">
        <v>50</v>
      </c>
      <c r="C119" s="325">
        <f>C120</f>
        <v>420000</v>
      </c>
      <c r="D119" s="340">
        <f>D120</f>
        <v>394000</v>
      </c>
      <c r="E119" s="325">
        <f>E120</f>
        <v>814000</v>
      </c>
      <c r="F119" s="340">
        <f>F120</f>
        <v>827958</v>
      </c>
      <c r="G119" s="323">
        <f t="shared" si="8"/>
        <v>101.71474201474201</v>
      </c>
      <c r="H119" s="84"/>
    </row>
    <row r="120" spans="1:8" ht="49.5" customHeight="1">
      <c r="A120" s="361"/>
      <c r="B120" s="378" t="s">
        <v>118</v>
      </c>
      <c r="C120" s="329">
        <v>420000</v>
      </c>
      <c r="D120" s="358">
        <v>394000</v>
      </c>
      <c r="E120" s="329">
        <v>814000</v>
      </c>
      <c r="F120" s="358">
        <v>827958</v>
      </c>
      <c r="G120" s="332">
        <f t="shared" si="8"/>
        <v>101.71474201474201</v>
      </c>
      <c r="H120" s="81"/>
    </row>
    <row r="121" spans="1:8" s="24" customFormat="1" ht="26.25" customHeight="1">
      <c r="A121" s="360" t="s">
        <v>202</v>
      </c>
      <c r="B121" s="363" t="s">
        <v>203</v>
      </c>
      <c r="C121" s="325">
        <f>C122</f>
        <v>0</v>
      </c>
      <c r="D121" s="340">
        <f>D122</f>
        <v>14748</v>
      </c>
      <c r="E121" s="325">
        <f>E122</f>
        <v>14748</v>
      </c>
      <c r="F121" s="340">
        <f>F122</f>
        <v>20849</v>
      </c>
      <c r="G121" s="323">
        <f aca="true" t="shared" si="10" ref="G121:G136">F121*100/E121</f>
        <v>141.36832112828858</v>
      </c>
      <c r="H121" s="84"/>
    </row>
    <row r="122" spans="1:8" s="29" customFormat="1" ht="27.75" customHeight="1">
      <c r="A122" s="361"/>
      <c r="B122" s="378" t="s">
        <v>206</v>
      </c>
      <c r="C122" s="329">
        <v>0</v>
      </c>
      <c r="D122" s="358">
        <v>14748</v>
      </c>
      <c r="E122" s="329">
        <v>14748</v>
      </c>
      <c r="F122" s="358">
        <v>20849</v>
      </c>
      <c r="G122" s="332">
        <f t="shared" si="10"/>
        <v>141.36832112828858</v>
      </c>
      <c r="H122" s="81"/>
    </row>
    <row r="123" spans="1:8" s="24" customFormat="1" ht="36" customHeight="1">
      <c r="A123" s="360" t="s">
        <v>204</v>
      </c>
      <c r="B123" s="363" t="s">
        <v>205</v>
      </c>
      <c r="C123" s="325">
        <f>C124</f>
        <v>0</v>
      </c>
      <c r="D123" s="340">
        <f>D124</f>
        <v>5012</v>
      </c>
      <c r="E123" s="325">
        <f>E124</f>
        <v>5012</v>
      </c>
      <c r="F123" s="340">
        <f>F124</f>
        <v>5012</v>
      </c>
      <c r="G123" s="323">
        <f t="shared" si="10"/>
        <v>100</v>
      </c>
      <c r="H123" s="84"/>
    </row>
    <row r="124" spans="1:8" s="29" customFormat="1" ht="36.75" customHeight="1">
      <c r="A124" s="361"/>
      <c r="B124" s="378" t="s">
        <v>366</v>
      </c>
      <c r="C124" s="329">
        <v>0</v>
      </c>
      <c r="D124" s="358">
        <v>5012</v>
      </c>
      <c r="E124" s="329">
        <v>5012</v>
      </c>
      <c r="F124" s="358">
        <v>5012</v>
      </c>
      <c r="G124" s="332">
        <f t="shared" si="10"/>
        <v>100</v>
      </c>
      <c r="H124" s="81"/>
    </row>
    <row r="125" spans="1:8" s="80" customFormat="1" ht="26.25" customHeight="1">
      <c r="A125" s="360" t="s">
        <v>269</v>
      </c>
      <c r="B125" s="363" t="s">
        <v>197</v>
      </c>
      <c r="C125" s="325">
        <f>C126</f>
        <v>0</v>
      </c>
      <c r="D125" s="340">
        <f>D126</f>
        <v>12000</v>
      </c>
      <c r="E125" s="325">
        <f>E126</f>
        <v>12000</v>
      </c>
      <c r="F125" s="340">
        <f>F126</f>
        <v>12000</v>
      </c>
      <c r="G125" s="323">
        <f t="shared" si="10"/>
        <v>100</v>
      </c>
      <c r="H125" s="84"/>
    </row>
    <row r="126" spans="1:8" s="29" customFormat="1" ht="42.75" customHeight="1">
      <c r="A126" s="362"/>
      <c r="B126" s="380" t="s">
        <v>270</v>
      </c>
      <c r="C126" s="334">
        <v>0</v>
      </c>
      <c r="D126" s="373">
        <v>12000</v>
      </c>
      <c r="E126" s="334">
        <v>12000</v>
      </c>
      <c r="F126" s="373">
        <v>12000</v>
      </c>
      <c r="G126" s="336">
        <f t="shared" si="10"/>
        <v>100</v>
      </c>
      <c r="H126" s="81"/>
    </row>
    <row r="127" spans="1:8" s="80" customFormat="1" ht="27" customHeight="1">
      <c r="A127" s="342" t="s">
        <v>230</v>
      </c>
      <c r="B127" s="357" t="s">
        <v>54</v>
      </c>
      <c r="C127" s="339">
        <f aca="true" t="shared" si="11" ref="C127:F128">C128</f>
        <v>0</v>
      </c>
      <c r="D127" s="340">
        <f t="shared" si="11"/>
        <v>17500</v>
      </c>
      <c r="E127" s="343">
        <f t="shared" si="11"/>
        <v>17500</v>
      </c>
      <c r="F127" s="325">
        <f t="shared" si="11"/>
        <v>17500</v>
      </c>
      <c r="G127" s="323">
        <f t="shared" si="10"/>
        <v>100</v>
      </c>
      <c r="H127" s="84"/>
    </row>
    <row r="128" spans="1:8" s="80" customFormat="1" ht="26.25" customHeight="1">
      <c r="A128" s="342" t="s">
        <v>271</v>
      </c>
      <c r="B128" s="357" t="s">
        <v>56</v>
      </c>
      <c r="C128" s="339">
        <f t="shared" si="11"/>
        <v>0</v>
      </c>
      <c r="D128" s="340">
        <f t="shared" si="11"/>
        <v>17500</v>
      </c>
      <c r="E128" s="343">
        <f t="shared" si="11"/>
        <v>17500</v>
      </c>
      <c r="F128" s="325">
        <f t="shared" si="11"/>
        <v>17500</v>
      </c>
      <c r="G128" s="323">
        <f t="shared" si="10"/>
        <v>100</v>
      </c>
      <c r="H128" s="84"/>
    </row>
    <row r="129" spans="1:8" s="29" customFormat="1" ht="46.5" customHeight="1">
      <c r="A129" s="349"/>
      <c r="B129" s="350" t="s">
        <v>265</v>
      </c>
      <c r="C129" s="351">
        <v>0</v>
      </c>
      <c r="D129" s="373">
        <v>17500</v>
      </c>
      <c r="E129" s="353">
        <v>17500</v>
      </c>
      <c r="F129" s="334">
        <v>17500</v>
      </c>
      <c r="G129" s="336">
        <f t="shared" si="10"/>
        <v>100</v>
      </c>
      <c r="H129" s="81"/>
    </row>
    <row r="130" spans="1:8" s="24" customFormat="1" ht="27" customHeight="1">
      <c r="A130" s="359">
        <v>926</v>
      </c>
      <c r="B130" s="377" t="s">
        <v>10</v>
      </c>
      <c r="C130" s="320">
        <f>C131</f>
        <v>110916</v>
      </c>
      <c r="D130" s="355">
        <f>D131</f>
        <v>0</v>
      </c>
      <c r="E130" s="320">
        <f>E131</f>
        <v>110916</v>
      </c>
      <c r="F130" s="355">
        <f>F131</f>
        <v>100317</v>
      </c>
      <c r="G130" s="356">
        <f t="shared" si="10"/>
        <v>90.44411987449962</v>
      </c>
      <c r="H130" s="84"/>
    </row>
    <row r="131" spans="1:8" s="24" customFormat="1" ht="27" customHeight="1">
      <c r="A131" s="360" t="s">
        <v>207</v>
      </c>
      <c r="B131" s="363" t="s">
        <v>57</v>
      </c>
      <c r="C131" s="325">
        <f>C132+C133+C134+C135</f>
        <v>110916</v>
      </c>
      <c r="D131" s="340">
        <f>D132+D133+D134+D135</f>
        <v>0</v>
      </c>
      <c r="E131" s="325">
        <f>E132+E133+E134+E135</f>
        <v>110916</v>
      </c>
      <c r="F131" s="340">
        <f>F132+F133+F134+F135</f>
        <v>100317</v>
      </c>
      <c r="G131" s="323">
        <f t="shared" si="10"/>
        <v>90.44411987449962</v>
      </c>
      <c r="H131" s="84"/>
    </row>
    <row r="132" spans="1:8" ht="33.75" customHeight="1">
      <c r="A132" s="361"/>
      <c r="B132" s="365" t="s">
        <v>367</v>
      </c>
      <c r="C132" s="329">
        <v>28996</v>
      </c>
      <c r="D132" s="358">
        <v>0</v>
      </c>
      <c r="E132" s="329">
        <v>28996</v>
      </c>
      <c r="F132" s="358">
        <v>15646</v>
      </c>
      <c r="G132" s="332">
        <f>F132*100/E132</f>
        <v>53.95916678162505</v>
      </c>
      <c r="H132" s="81"/>
    </row>
    <row r="133" spans="1:8" ht="32.25" customHeight="1">
      <c r="A133" s="361"/>
      <c r="B133" s="365" t="s">
        <v>368</v>
      </c>
      <c r="C133" s="329">
        <v>81620</v>
      </c>
      <c r="D133" s="358">
        <v>0</v>
      </c>
      <c r="E133" s="329">
        <v>81620</v>
      </c>
      <c r="F133" s="358">
        <v>81898</v>
      </c>
      <c r="G133" s="332">
        <f>F133*100/E133</f>
        <v>100.34060279343298</v>
      </c>
      <c r="H133" s="81"/>
    </row>
    <row r="134" spans="1:8" ht="24.75" customHeight="1">
      <c r="A134" s="361"/>
      <c r="B134" s="369" t="s">
        <v>355</v>
      </c>
      <c r="C134" s="329">
        <v>300</v>
      </c>
      <c r="D134" s="358">
        <v>0</v>
      </c>
      <c r="E134" s="329">
        <v>300</v>
      </c>
      <c r="F134" s="358">
        <v>194</v>
      </c>
      <c r="G134" s="332">
        <f>F134*100/E134</f>
        <v>64.66666666666667</v>
      </c>
      <c r="H134" s="81"/>
    </row>
    <row r="135" spans="1:8" ht="24.75" customHeight="1">
      <c r="A135" s="362"/>
      <c r="B135" s="372" t="s">
        <v>103</v>
      </c>
      <c r="C135" s="334">
        <v>0</v>
      </c>
      <c r="D135" s="373">
        <v>0</v>
      </c>
      <c r="E135" s="334">
        <v>0</v>
      </c>
      <c r="F135" s="373">
        <v>2579</v>
      </c>
      <c r="G135" s="336">
        <v>0</v>
      </c>
      <c r="H135" s="81"/>
    </row>
    <row r="136" spans="1:8" s="129" customFormat="1" ht="27" customHeight="1">
      <c r="A136" s="386" t="s">
        <v>308</v>
      </c>
      <c r="B136" s="387"/>
      <c r="C136" s="388">
        <f>C9+C18+C24+C31+C34+C66+C73+C91+C110+C113+C118+C127+C130</f>
        <v>29144282</v>
      </c>
      <c r="D136" s="389">
        <f>D5+D9+D15+D18+D24+D31+D34+D66+D73+D91+D110+D113+D118+D127+D130</f>
        <v>3296540</v>
      </c>
      <c r="E136" s="390">
        <f>E5+E9+E15+E18+E24+E31+E34+E66+E73+E91+E110+E113+E118+E127+E130</f>
        <v>32440822</v>
      </c>
      <c r="F136" s="135">
        <f>F5+F9+F15+F18+F24+F31+F34+F66+F73+F91+F110+F113+F118+F127+F130</f>
        <v>33016462</v>
      </c>
      <c r="G136" s="391">
        <f t="shared" si="10"/>
        <v>101.77443099314807</v>
      </c>
      <c r="H136" s="132"/>
    </row>
    <row r="137" spans="5:8" ht="14.25">
      <c r="E137" s="230"/>
      <c r="F137" s="230"/>
      <c r="G137" s="230"/>
      <c r="H137" s="81"/>
    </row>
    <row r="138" ht="14.25">
      <c r="H138" s="81"/>
    </row>
    <row r="139" spans="5:8" ht="14.25">
      <c r="E139" s="230"/>
      <c r="F139" s="230"/>
      <c r="G139" s="230"/>
      <c r="H139" s="81"/>
    </row>
    <row r="140" ht="14.25">
      <c r="H140" s="81"/>
    </row>
    <row r="141" ht="14.25">
      <c r="H141" s="81"/>
    </row>
    <row r="142" ht="14.25">
      <c r="H142" s="81"/>
    </row>
    <row r="143" ht="14.25">
      <c r="H143" s="81"/>
    </row>
  </sheetData>
  <mergeCells count="9">
    <mergeCell ref="A1:G1"/>
    <mergeCell ref="A136:B136"/>
    <mergeCell ref="A3:A4"/>
    <mergeCell ref="A2:G2"/>
    <mergeCell ref="B3:B4"/>
    <mergeCell ref="C3:C4"/>
    <mergeCell ref="E3:E4"/>
    <mergeCell ref="F3:G3"/>
    <mergeCell ref="D3:D4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B21">
      <selection activeCell="C20" sqref="C20"/>
    </sheetView>
  </sheetViews>
  <sheetFormatPr defaultColWidth="9.00390625" defaultRowHeight="12.75"/>
  <cols>
    <col min="1" max="1" width="13.75390625" style="0" customWidth="1"/>
    <col min="2" max="2" width="40.125" style="0" customWidth="1"/>
    <col min="3" max="8" width="12.75390625" style="0" customWidth="1"/>
  </cols>
  <sheetData>
    <row r="1" spans="1:8" ht="28.5" customHeight="1">
      <c r="A1" s="286" t="s">
        <v>334</v>
      </c>
      <c r="B1" s="286"/>
      <c r="C1" s="286"/>
      <c r="D1" s="286"/>
      <c r="E1" s="286"/>
      <c r="F1" s="286"/>
      <c r="G1" s="286"/>
      <c r="H1" s="286"/>
    </row>
    <row r="2" spans="1:8" s="175" customFormat="1" ht="24" customHeight="1">
      <c r="A2" s="176" t="s">
        <v>59</v>
      </c>
      <c r="B2" s="176" t="s">
        <v>0</v>
      </c>
      <c r="C2" s="176" t="s">
        <v>322</v>
      </c>
      <c r="D2" s="176" t="s">
        <v>316</v>
      </c>
      <c r="E2" s="176" t="s">
        <v>322</v>
      </c>
      <c r="F2" s="176" t="s">
        <v>316</v>
      </c>
      <c r="G2" s="176" t="s">
        <v>322</v>
      </c>
      <c r="H2" s="176" t="s">
        <v>316</v>
      </c>
    </row>
    <row r="3" spans="1:8" s="189" customFormat="1" ht="21" customHeight="1">
      <c r="A3" s="259" t="s">
        <v>236</v>
      </c>
      <c r="B3" s="259"/>
      <c r="C3" s="259"/>
      <c r="D3" s="259"/>
      <c r="E3" s="259"/>
      <c r="F3" s="259"/>
      <c r="G3" s="259"/>
      <c r="H3" s="259"/>
    </row>
    <row r="4" spans="1:8" ht="21" customHeight="1">
      <c r="A4" s="177"/>
      <c r="B4" s="177"/>
      <c r="C4" s="287" t="s">
        <v>378</v>
      </c>
      <c r="D4" s="287"/>
      <c r="E4" s="287" t="s">
        <v>379</v>
      </c>
      <c r="F4" s="287"/>
      <c r="G4" s="287" t="s">
        <v>320</v>
      </c>
      <c r="H4" s="287"/>
    </row>
    <row r="5" spans="1:8" ht="19.5" customHeight="1">
      <c r="A5" s="177">
        <v>801</v>
      </c>
      <c r="B5" s="178" t="s">
        <v>7</v>
      </c>
      <c r="C5" s="179">
        <f aca="true" t="shared" si="0" ref="C5:H5">C6</f>
        <v>10214</v>
      </c>
      <c r="D5" s="179">
        <f t="shared" si="0"/>
        <v>14044</v>
      </c>
      <c r="E5" s="179">
        <f t="shared" si="0"/>
        <v>5414</v>
      </c>
      <c r="F5" s="179">
        <f t="shared" si="0"/>
        <v>4100</v>
      </c>
      <c r="G5" s="179">
        <f t="shared" si="0"/>
        <v>15628</v>
      </c>
      <c r="H5" s="179">
        <f t="shared" si="0"/>
        <v>18144</v>
      </c>
    </row>
    <row r="6" spans="1:8" s="80" customFormat="1" ht="19.5" customHeight="1">
      <c r="A6" s="161">
        <v>80110</v>
      </c>
      <c r="B6" s="162" t="s">
        <v>41</v>
      </c>
      <c r="C6" s="182">
        <f aca="true" t="shared" si="1" ref="C6:H6">C7+C8+C9+C10</f>
        <v>10214</v>
      </c>
      <c r="D6" s="182">
        <f t="shared" si="1"/>
        <v>14044</v>
      </c>
      <c r="E6" s="182">
        <f t="shared" si="1"/>
        <v>5414</v>
      </c>
      <c r="F6" s="182">
        <f t="shared" si="1"/>
        <v>4100</v>
      </c>
      <c r="G6" s="182">
        <f t="shared" si="1"/>
        <v>15628</v>
      </c>
      <c r="H6" s="182">
        <f t="shared" si="1"/>
        <v>18144</v>
      </c>
    </row>
    <row r="7" spans="1:8" s="80" customFormat="1" ht="52.5" customHeight="1">
      <c r="A7" s="161"/>
      <c r="B7" s="168" t="s">
        <v>324</v>
      </c>
      <c r="C7" s="182"/>
      <c r="D7" s="182"/>
      <c r="E7" s="184">
        <v>2490</v>
      </c>
      <c r="F7" s="184">
        <v>3565</v>
      </c>
      <c r="G7" s="184">
        <f aca="true" t="shared" si="2" ref="G7:H10">C7+E7</f>
        <v>2490</v>
      </c>
      <c r="H7" s="184">
        <f t="shared" si="2"/>
        <v>3565</v>
      </c>
    </row>
    <row r="8" spans="1:8" s="30" customFormat="1" ht="15.75" customHeight="1">
      <c r="A8" s="144"/>
      <c r="B8" s="168" t="s">
        <v>362</v>
      </c>
      <c r="C8" s="184">
        <v>2492</v>
      </c>
      <c r="D8" s="184">
        <v>528</v>
      </c>
      <c r="E8" s="184">
        <v>2684</v>
      </c>
      <c r="F8" s="184">
        <v>0</v>
      </c>
      <c r="G8" s="184">
        <f t="shared" si="2"/>
        <v>5176</v>
      </c>
      <c r="H8" s="184">
        <f t="shared" si="2"/>
        <v>528</v>
      </c>
    </row>
    <row r="9" spans="1:8" s="30" customFormat="1" ht="16.5" customHeight="1">
      <c r="A9" s="144"/>
      <c r="B9" s="168" t="s">
        <v>375</v>
      </c>
      <c r="C9" s="184">
        <v>170</v>
      </c>
      <c r="D9" s="184">
        <v>521</v>
      </c>
      <c r="E9" s="184">
        <v>100</v>
      </c>
      <c r="F9" s="184">
        <v>348</v>
      </c>
      <c r="G9" s="184">
        <f t="shared" si="2"/>
        <v>270</v>
      </c>
      <c r="H9" s="184">
        <f t="shared" si="2"/>
        <v>869</v>
      </c>
    </row>
    <row r="10" spans="1:8" ht="15" customHeight="1">
      <c r="A10" s="177"/>
      <c r="B10" s="178" t="s">
        <v>103</v>
      </c>
      <c r="C10" s="179">
        <v>7552</v>
      </c>
      <c r="D10" s="179">
        <v>12995</v>
      </c>
      <c r="E10" s="179">
        <v>140</v>
      </c>
      <c r="F10" s="179">
        <v>187</v>
      </c>
      <c r="G10" s="179">
        <f t="shared" si="2"/>
        <v>7692</v>
      </c>
      <c r="H10" s="179">
        <f t="shared" si="2"/>
        <v>13182</v>
      </c>
    </row>
    <row r="11" spans="1:8" ht="19.5" customHeight="1">
      <c r="A11" s="177">
        <v>854</v>
      </c>
      <c r="B11" s="178" t="s">
        <v>48</v>
      </c>
      <c r="C11" s="179">
        <f aca="true" t="shared" si="3" ref="C11:H12">C12</f>
        <v>70800</v>
      </c>
      <c r="D11" s="179">
        <f t="shared" si="3"/>
        <v>66322</v>
      </c>
      <c r="E11" s="179">
        <f t="shared" si="3"/>
        <v>100000</v>
      </c>
      <c r="F11" s="179">
        <f t="shared" si="3"/>
        <v>78470</v>
      </c>
      <c r="G11" s="179">
        <f t="shared" si="3"/>
        <v>170800</v>
      </c>
      <c r="H11" s="179">
        <f t="shared" si="3"/>
        <v>144792</v>
      </c>
    </row>
    <row r="12" spans="1:8" s="80" customFormat="1" ht="19.5" customHeight="1">
      <c r="A12" s="161">
        <v>85401</v>
      </c>
      <c r="B12" s="162" t="s">
        <v>49</v>
      </c>
      <c r="C12" s="182">
        <f t="shared" si="3"/>
        <v>70800</v>
      </c>
      <c r="D12" s="182">
        <f t="shared" si="3"/>
        <v>66322</v>
      </c>
      <c r="E12" s="182">
        <f t="shared" si="3"/>
        <v>100000</v>
      </c>
      <c r="F12" s="182">
        <f t="shared" si="3"/>
        <v>78470</v>
      </c>
      <c r="G12" s="182">
        <f t="shared" si="3"/>
        <v>170800</v>
      </c>
      <c r="H12" s="182">
        <f t="shared" si="3"/>
        <v>144792</v>
      </c>
    </row>
    <row r="13" spans="1:8" ht="29.25" customHeight="1">
      <c r="A13" s="177"/>
      <c r="B13" s="168" t="s">
        <v>119</v>
      </c>
      <c r="C13" s="179">
        <v>70800</v>
      </c>
      <c r="D13" s="179">
        <v>66322</v>
      </c>
      <c r="E13" s="179">
        <v>100000</v>
      </c>
      <c r="F13" s="179">
        <v>78470</v>
      </c>
      <c r="G13" s="179">
        <f>C13+E13</f>
        <v>170800</v>
      </c>
      <c r="H13" s="179">
        <f>D13+F13</f>
        <v>144792</v>
      </c>
    </row>
    <row r="14" spans="1:10" s="129" customFormat="1" ht="21" customHeight="1">
      <c r="A14" s="281" t="s">
        <v>342</v>
      </c>
      <c r="B14" s="281"/>
      <c r="C14" s="183">
        <f aca="true" t="shared" si="4" ref="C14:H14">C5+C11</f>
        <v>81014</v>
      </c>
      <c r="D14" s="183">
        <f t="shared" si="4"/>
        <v>80366</v>
      </c>
      <c r="E14" s="183">
        <f t="shared" si="4"/>
        <v>105414</v>
      </c>
      <c r="F14" s="183">
        <f t="shared" si="4"/>
        <v>82570</v>
      </c>
      <c r="G14" s="183">
        <f t="shared" si="4"/>
        <v>186428</v>
      </c>
      <c r="H14" s="183">
        <f t="shared" si="4"/>
        <v>162936</v>
      </c>
      <c r="J14" s="233"/>
    </row>
    <row r="15" spans="1:8" ht="21" customHeight="1">
      <c r="A15" s="259" t="s">
        <v>13</v>
      </c>
      <c r="B15" s="259"/>
      <c r="C15" s="259"/>
      <c r="D15" s="259"/>
      <c r="E15" s="259"/>
      <c r="F15" s="259"/>
      <c r="G15" s="259"/>
      <c r="H15" s="259"/>
    </row>
    <row r="16" spans="1:8" ht="19.5" customHeight="1">
      <c r="A16" s="177">
        <v>801</v>
      </c>
      <c r="B16" s="178" t="s">
        <v>7</v>
      </c>
      <c r="C16" s="179">
        <f aca="true" t="shared" si="5" ref="C16:H16">C17+C22</f>
        <v>2215718</v>
      </c>
      <c r="D16" s="179">
        <f t="shared" si="5"/>
        <v>2169999</v>
      </c>
      <c r="E16" s="179">
        <f t="shared" si="5"/>
        <v>1101953</v>
      </c>
      <c r="F16" s="179">
        <f t="shared" si="5"/>
        <v>1092566</v>
      </c>
      <c r="G16" s="179">
        <f t="shared" si="5"/>
        <v>3317671</v>
      </c>
      <c r="H16" s="179">
        <f t="shared" si="5"/>
        <v>3262565</v>
      </c>
    </row>
    <row r="17" spans="1:8" s="80" customFormat="1" ht="19.5" customHeight="1">
      <c r="A17" s="161">
        <v>80110</v>
      </c>
      <c r="B17" s="162" t="s">
        <v>41</v>
      </c>
      <c r="C17" s="182">
        <f aca="true" t="shared" si="6" ref="C17:H17">C18</f>
        <v>2203452</v>
      </c>
      <c r="D17" s="182">
        <f t="shared" si="6"/>
        <v>2158440</v>
      </c>
      <c r="E17" s="182">
        <f t="shared" si="6"/>
        <v>1089267</v>
      </c>
      <c r="F17" s="182">
        <f t="shared" si="6"/>
        <v>1082352</v>
      </c>
      <c r="G17" s="182">
        <f t="shared" si="6"/>
        <v>3292719</v>
      </c>
      <c r="H17" s="182">
        <f t="shared" si="6"/>
        <v>3240792</v>
      </c>
    </row>
    <row r="18" spans="1:8" ht="15" customHeight="1">
      <c r="A18" s="177"/>
      <c r="B18" s="178" t="s">
        <v>331</v>
      </c>
      <c r="C18" s="179">
        <f>11466+1504619+123134+285114+38588+17648+86000+17359+1000+3300+115224</f>
        <v>2203452</v>
      </c>
      <c r="D18" s="179">
        <f>11022+1476652+123133+281764+38523+17616+75439+16669+554+2702+114366</f>
        <v>2158440</v>
      </c>
      <c r="E18" s="179">
        <f>2300+745036+55886+137643+18720+5480+3000+61150+16600+80+1860+41512</f>
        <v>1089267</v>
      </c>
      <c r="F18" s="179">
        <f>2292+740013+55886+136169+18522+5471+2995+61150+16454+77+1811+41512</f>
        <v>1082352</v>
      </c>
      <c r="G18" s="179">
        <f aca="true" t="shared" si="7" ref="G18:H21">C18+E18</f>
        <v>3292719</v>
      </c>
      <c r="H18" s="179">
        <f t="shared" si="7"/>
        <v>3240792</v>
      </c>
    </row>
    <row r="19" spans="1:8" ht="15" customHeight="1">
      <c r="A19" s="177"/>
      <c r="B19" s="185" t="s">
        <v>328</v>
      </c>
      <c r="C19" s="179">
        <v>1504619</v>
      </c>
      <c r="D19" s="179">
        <v>1476652</v>
      </c>
      <c r="E19" s="179">
        <v>745036</v>
      </c>
      <c r="F19" s="179">
        <v>740013</v>
      </c>
      <c r="G19" s="179">
        <f t="shared" si="7"/>
        <v>2249655</v>
      </c>
      <c r="H19" s="179">
        <f t="shared" si="7"/>
        <v>2216665</v>
      </c>
    </row>
    <row r="20" spans="1:8" ht="15" customHeight="1">
      <c r="A20" s="177"/>
      <c r="B20" s="185" t="s">
        <v>335</v>
      </c>
      <c r="C20" s="179">
        <f>123134+285114+38588</f>
        <v>446836</v>
      </c>
      <c r="D20" s="179">
        <f>123133+281764+38523</f>
        <v>443420</v>
      </c>
      <c r="E20" s="179">
        <f>55886+137643+18720</f>
        <v>212249</v>
      </c>
      <c r="F20" s="179">
        <f>55886+136169+18522</f>
        <v>210577</v>
      </c>
      <c r="G20" s="179">
        <f t="shared" si="7"/>
        <v>659085</v>
      </c>
      <c r="H20" s="179">
        <f t="shared" si="7"/>
        <v>653997</v>
      </c>
    </row>
    <row r="21" spans="1:8" ht="15" customHeight="1">
      <c r="A21" s="177"/>
      <c r="B21" s="185" t="s">
        <v>336</v>
      </c>
      <c r="C21" s="179">
        <f>11466+17648+86000+17359+1000+3300+115224</f>
        <v>251997</v>
      </c>
      <c r="D21" s="179">
        <f>11022+17616+75439+16669+554+2702+114366</f>
        <v>238368</v>
      </c>
      <c r="E21" s="179">
        <f>2300+5480+3000+61150+16600+80+1860+41512</f>
        <v>131982</v>
      </c>
      <c r="F21" s="179">
        <f>2292+5471+2995+61150+16454+77+1811+41512</f>
        <v>131762</v>
      </c>
      <c r="G21" s="179">
        <f t="shared" si="7"/>
        <v>383979</v>
      </c>
      <c r="H21" s="179">
        <f t="shared" si="7"/>
        <v>370130</v>
      </c>
    </row>
    <row r="22" spans="1:8" s="188" customFormat="1" ht="25.5">
      <c r="A22" s="186">
        <v>80146</v>
      </c>
      <c r="B22" s="163" t="s">
        <v>43</v>
      </c>
      <c r="C22" s="187">
        <f aca="true" t="shared" si="8" ref="C22:H22">C23</f>
        <v>12266</v>
      </c>
      <c r="D22" s="187">
        <f t="shared" si="8"/>
        <v>11559</v>
      </c>
      <c r="E22" s="187">
        <f t="shared" si="8"/>
        <v>12686</v>
      </c>
      <c r="F22" s="187">
        <f t="shared" si="8"/>
        <v>10214</v>
      </c>
      <c r="G22" s="187">
        <f t="shared" si="8"/>
        <v>24952</v>
      </c>
      <c r="H22" s="187">
        <f t="shared" si="8"/>
        <v>21773</v>
      </c>
    </row>
    <row r="23" spans="1:8" ht="15" customHeight="1">
      <c r="A23" s="177"/>
      <c r="B23" s="178" t="s">
        <v>325</v>
      </c>
      <c r="C23" s="179">
        <f>2500+7104+2662</f>
        <v>12266</v>
      </c>
      <c r="D23" s="179">
        <f>2200+7077+2282</f>
        <v>11559</v>
      </c>
      <c r="E23" s="179">
        <f>1500+11186</f>
        <v>12686</v>
      </c>
      <c r="F23" s="179">
        <f>1500+8714</f>
        <v>10214</v>
      </c>
      <c r="G23" s="179">
        <f>C23+E23</f>
        <v>24952</v>
      </c>
      <c r="H23" s="179">
        <f>D23+F23</f>
        <v>21773</v>
      </c>
    </row>
    <row r="24" spans="1:8" ht="19.5" customHeight="1">
      <c r="A24" s="177">
        <v>851</v>
      </c>
      <c r="B24" s="178" t="s">
        <v>44</v>
      </c>
      <c r="C24" s="179">
        <f aca="true" t="shared" si="9" ref="C24:F25">C25</f>
        <v>11200</v>
      </c>
      <c r="D24" s="179">
        <f t="shared" si="9"/>
        <v>11093</v>
      </c>
      <c r="E24" s="179">
        <f t="shared" si="9"/>
        <v>3800</v>
      </c>
      <c r="F24" s="179">
        <f t="shared" si="9"/>
        <v>3781</v>
      </c>
      <c r="G24" s="179">
        <f>G25</f>
        <v>15000</v>
      </c>
      <c r="H24" s="179">
        <f>H25</f>
        <v>14874</v>
      </c>
    </row>
    <row r="25" spans="1:8" s="80" customFormat="1" ht="19.5" customHeight="1">
      <c r="A25" s="161">
        <v>85154</v>
      </c>
      <c r="B25" s="162" t="s">
        <v>45</v>
      </c>
      <c r="C25" s="182">
        <f t="shared" si="9"/>
        <v>11200</v>
      </c>
      <c r="D25" s="182">
        <f t="shared" si="9"/>
        <v>11093</v>
      </c>
      <c r="E25" s="182">
        <f t="shared" si="9"/>
        <v>3800</v>
      </c>
      <c r="F25" s="182">
        <f t="shared" si="9"/>
        <v>3781</v>
      </c>
      <c r="G25" s="182">
        <f>G26</f>
        <v>15000</v>
      </c>
      <c r="H25" s="182">
        <f>H26</f>
        <v>14874</v>
      </c>
    </row>
    <row r="26" spans="1:8" ht="15" customHeight="1">
      <c r="A26" s="177"/>
      <c r="B26" s="178" t="s">
        <v>325</v>
      </c>
      <c r="C26" s="179">
        <f>2338+8862</f>
        <v>11200</v>
      </c>
      <c r="D26" s="179">
        <f>2319+8774</f>
        <v>11093</v>
      </c>
      <c r="E26" s="179">
        <v>3800</v>
      </c>
      <c r="F26" s="179">
        <v>3781</v>
      </c>
      <c r="G26" s="179">
        <f>C26+E26</f>
        <v>15000</v>
      </c>
      <c r="H26" s="179">
        <f>D26+F26</f>
        <v>14874</v>
      </c>
    </row>
    <row r="27" spans="1:8" ht="19.5" customHeight="1">
      <c r="A27" s="177">
        <v>854</v>
      </c>
      <c r="B27" s="178" t="s">
        <v>48</v>
      </c>
      <c r="C27" s="179">
        <f aca="true" t="shared" si="10" ref="C27:H27">C28+C33</f>
        <v>136926</v>
      </c>
      <c r="D27" s="179">
        <f t="shared" si="10"/>
        <v>116256</v>
      </c>
      <c r="E27" s="179">
        <f t="shared" si="10"/>
        <v>189312</v>
      </c>
      <c r="F27" s="179">
        <f t="shared" si="10"/>
        <v>128180</v>
      </c>
      <c r="G27" s="179">
        <f t="shared" si="10"/>
        <v>326238</v>
      </c>
      <c r="H27" s="179">
        <f t="shared" si="10"/>
        <v>244436</v>
      </c>
    </row>
    <row r="28" spans="1:8" s="80" customFormat="1" ht="19.5" customHeight="1">
      <c r="A28" s="161">
        <v>85401</v>
      </c>
      <c r="B28" s="162" t="s">
        <v>49</v>
      </c>
      <c r="C28" s="182">
        <f aca="true" t="shared" si="11" ref="C28:H28">C29</f>
        <v>118969</v>
      </c>
      <c r="D28" s="182">
        <f t="shared" si="11"/>
        <v>98300</v>
      </c>
      <c r="E28" s="182">
        <f t="shared" si="11"/>
        <v>181673</v>
      </c>
      <c r="F28" s="182">
        <f t="shared" si="11"/>
        <v>123094</v>
      </c>
      <c r="G28" s="182">
        <f t="shared" si="11"/>
        <v>300642</v>
      </c>
      <c r="H28" s="182">
        <f t="shared" si="11"/>
        <v>221394</v>
      </c>
    </row>
    <row r="29" spans="1:8" ht="15" customHeight="1">
      <c r="A29" s="177"/>
      <c r="B29" s="178" t="s">
        <v>331</v>
      </c>
      <c r="C29" s="179">
        <f>200+52312+4831+9847+1341+800+45950+3688</f>
        <v>118969</v>
      </c>
      <c r="D29" s="179">
        <f>135+51142+4831+9593+1307+799+26805+3688</f>
        <v>98300</v>
      </c>
      <c r="E29" s="179">
        <f>62193+4933+10520+1435+2150+97112+450+2880</f>
        <v>181673</v>
      </c>
      <c r="F29" s="179">
        <f>62171+4932+10512+1432+2150+38567+450+2880</f>
        <v>123094</v>
      </c>
      <c r="G29" s="179">
        <f aca="true" t="shared" si="12" ref="G29:H32">C29+E29</f>
        <v>300642</v>
      </c>
      <c r="H29" s="179">
        <f t="shared" si="12"/>
        <v>221394</v>
      </c>
    </row>
    <row r="30" spans="1:8" ht="15" customHeight="1">
      <c r="A30" s="177"/>
      <c r="B30" s="185" t="s">
        <v>328</v>
      </c>
      <c r="C30" s="179">
        <v>52312</v>
      </c>
      <c r="D30" s="179">
        <v>51142</v>
      </c>
      <c r="E30" s="179">
        <v>62193</v>
      </c>
      <c r="F30" s="179">
        <v>62171</v>
      </c>
      <c r="G30" s="179">
        <f t="shared" si="12"/>
        <v>114505</v>
      </c>
      <c r="H30" s="179">
        <f t="shared" si="12"/>
        <v>113313</v>
      </c>
    </row>
    <row r="31" spans="1:8" ht="15" customHeight="1">
      <c r="A31" s="177"/>
      <c r="B31" s="185" t="s">
        <v>335</v>
      </c>
      <c r="C31" s="179">
        <f>4831+9847+1341</f>
        <v>16019</v>
      </c>
      <c r="D31" s="179">
        <f>4831+9593+1307</f>
        <v>15731</v>
      </c>
      <c r="E31" s="179">
        <f>4933+10520+1435</f>
        <v>16888</v>
      </c>
      <c r="F31" s="179">
        <f>4932+10512+1432</f>
        <v>16876</v>
      </c>
      <c r="G31" s="179">
        <f t="shared" si="12"/>
        <v>32907</v>
      </c>
      <c r="H31" s="179">
        <f t="shared" si="12"/>
        <v>32607</v>
      </c>
    </row>
    <row r="32" spans="1:8" ht="15" customHeight="1">
      <c r="A32" s="177"/>
      <c r="B32" s="185" t="s">
        <v>336</v>
      </c>
      <c r="C32" s="179">
        <f>200+800+45950+3688</f>
        <v>50638</v>
      </c>
      <c r="D32" s="179">
        <f>135+799+26806+3688</f>
        <v>31428</v>
      </c>
      <c r="E32" s="179">
        <f>2150+97112+450+2880</f>
        <v>102592</v>
      </c>
      <c r="F32" s="179">
        <f>2150+38567+450+2880</f>
        <v>44047</v>
      </c>
      <c r="G32" s="179">
        <f t="shared" si="12"/>
        <v>153230</v>
      </c>
      <c r="H32" s="179">
        <f t="shared" si="12"/>
        <v>75475</v>
      </c>
    </row>
    <row r="33" spans="1:8" s="80" customFormat="1" ht="19.5" customHeight="1">
      <c r="A33" s="161">
        <v>85415</v>
      </c>
      <c r="B33" s="162" t="s">
        <v>337</v>
      </c>
      <c r="C33" s="182">
        <f aca="true" t="shared" si="13" ref="C33:H33">C34</f>
        <v>17957</v>
      </c>
      <c r="D33" s="182">
        <f t="shared" si="13"/>
        <v>17956</v>
      </c>
      <c r="E33" s="182">
        <f t="shared" si="13"/>
        <v>7639</v>
      </c>
      <c r="F33" s="182">
        <f t="shared" si="13"/>
        <v>5086</v>
      </c>
      <c r="G33" s="182">
        <f t="shared" si="13"/>
        <v>25596</v>
      </c>
      <c r="H33" s="182">
        <f t="shared" si="13"/>
        <v>23042</v>
      </c>
    </row>
    <row r="34" spans="1:8" ht="15" customHeight="1">
      <c r="A34" s="177"/>
      <c r="B34" s="178" t="s">
        <v>325</v>
      </c>
      <c r="C34" s="179">
        <f>10192+7765</f>
        <v>17957</v>
      </c>
      <c r="D34" s="179">
        <v>17956</v>
      </c>
      <c r="E34" s="179">
        <v>7639</v>
      </c>
      <c r="F34" s="179">
        <v>5086</v>
      </c>
      <c r="G34" s="179">
        <f>C34+E34</f>
        <v>25596</v>
      </c>
      <c r="H34" s="179">
        <f>D34+F34</f>
        <v>23042</v>
      </c>
    </row>
    <row r="35" spans="1:8" s="129" customFormat="1" ht="21" customHeight="1">
      <c r="A35" s="281" t="s">
        <v>343</v>
      </c>
      <c r="B35" s="281"/>
      <c r="C35" s="183">
        <f aca="true" t="shared" si="14" ref="C35:H35">C16+C24+C27</f>
        <v>2363844</v>
      </c>
      <c r="D35" s="183">
        <f t="shared" si="14"/>
        <v>2297348</v>
      </c>
      <c r="E35" s="183">
        <f t="shared" si="14"/>
        <v>1295065</v>
      </c>
      <c r="F35" s="183">
        <f t="shared" si="14"/>
        <v>1224527</v>
      </c>
      <c r="G35" s="183">
        <f t="shared" si="14"/>
        <v>3658909</v>
      </c>
      <c r="H35" s="183">
        <f t="shared" si="14"/>
        <v>3521875</v>
      </c>
    </row>
    <row r="36" spans="1:8" ht="12.75">
      <c r="A36" s="8"/>
      <c r="B36" s="6"/>
      <c r="C36" s="180"/>
      <c r="D36" s="180"/>
      <c r="E36" s="180"/>
      <c r="F36" s="180"/>
      <c r="G36" s="180"/>
      <c r="H36" s="180"/>
    </row>
    <row r="37" spans="1:8" ht="12.75">
      <c r="A37" s="8"/>
      <c r="B37" s="6"/>
      <c r="C37" s="180"/>
      <c r="D37" s="180"/>
      <c r="E37" s="180"/>
      <c r="F37" s="180"/>
      <c r="G37" s="180"/>
      <c r="H37" s="180"/>
    </row>
    <row r="38" spans="1:8" ht="12.75">
      <c r="A38" s="8"/>
      <c r="B38" s="6"/>
      <c r="C38" s="180"/>
      <c r="D38" s="180"/>
      <c r="E38" s="180"/>
      <c r="F38" s="180"/>
      <c r="G38" s="180"/>
      <c r="H38" s="180"/>
    </row>
    <row r="39" spans="1:8" ht="12.75">
      <c r="A39" s="8"/>
      <c r="C39" s="181"/>
      <c r="D39" s="181"/>
      <c r="E39" s="181"/>
      <c r="F39" s="181"/>
      <c r="G39" s="181"/>
      <c r="H39" s="181"/>
    </row>
    <row r="40" spans="1:8" ht="12.75">
      <c r="A40" s="8"/>
      <c r="C40" s="181"/>
      <c r="D40" s="181"/>
      <c r="E40" s="181"/>
      <c r="F40" s="181"/>
      <c r="G40" s="181"/>
      <c r="H40" s="181"/>
    </row>
    <row r="41" spans="1:8" ht="12.75">
      <c r="A41" s="8"/>
      <c r="C41" s="181"/>
      <c r="D41" s="181"/>
      <c r="E41" s="181"/>
      <c r="F41" s="181"/>
      <c r="G41" s="181"/>
      <c r="H41" s="181"/>
    </row>
    <row r="42" spans="1:8" ht="12.75">
      <c r="A42" s="8"/>
      <c r="C42" s="181"/>
      <c r="D42" s="181"/>
      <c r="E42" s="181"/>
      <c r="F42" s="181"/>
      <c r="G42" s="181"/>
      <c r="H42" s="181"/>
    </row>
    <row r="43" spans="1:8" ht="12.75">
      <c r="A43" s="8"/>
      <c r="C43" s="181"/>
      <c r="D43" s="181"/>
      <c r="E43" s="181"/>
      <c r="F43" s="181"/>
      <c r="G43" s="181"/>
      <c r="H43" s="181"/>
    </row>
    <row r="44" spans="1:8" ht="12.75">
      <c r="A44" s="8"/>
      <c r="C44" s="181"/>
      <c r="D44" s="181"/>
      <c r="E44" s="181"/>
      <c r="F44" s="181"/>
      <c r="G44" s="181"/>
      <c r="H44" s="181"/>
    </row>
    <row r="45" spans="1:8" ht="12.75">
      <c r="A45" s="8"/>
      <c r="C45" s="181"/>
      <c r="D45" s="181"/>
      <c r="E45" s="181"/>
      <c r="F45" s="181"/>
      <c r="G45" s="181"/>
      <c r="H45" s="181"/>
    </row>
    <row r="46" spans="1:8" ht="12.75">
      <c r="A46" s="8"/>
      <c r="C46" s="181"/>
      <c r="D46" s="181"/>
      <c r="E46" s="181"/>
      <c r="F46" s="181"/>
      <c r="G46" s="181"/>
      <c r="H46" s="181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</sheetData>
  <mergeCells count="8">
    <mergeCell ref="A1:H1"/>
    <mergeCell ref="C4:D4"/>
    <mergeCell ref="E4:F4"/>
    <mergeCell ref="G4:H4"/>
    <mergeCell ref="A14:B14"/>
    <mergeCell ref="A15:H15"/>
    <mergeCell ref="A35:B35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6">
      <selection activeCell="H19" sqref="H19"/>
    </sheetView>
  </sheetViews>
  <sheetFormatPr defaultColWidth="9.00390625" defaultRowHeight="12.75"/>
  <cols>
    <col min="2" max="2" width="23.125" style="0" customWidth="1"/>
    <col min="3" max="3" width="7.75390625" style="0" customWidth="1"/>
    <col min="4" max="4" width="8.25390625" style="0" customWidth="1"/>
    <col min="5" max="5" width="7.875" style="0" customWidth="1"/>
    <col min="6" max="6" width="8.75390625" style="0" customWidth="1"/>
    <col min="7" max="7" width="8.00390625" style="0" customWidth="1"/>
    <col min="8" max="8" width="8.625" style="0" customWidth="1"/>
    <col min="9" max="9" width="7.875" style="0" customWidth="1"/>
    <col min="10" max="10" width="8.25390625" style="0" customWidth="1"/>
    <col min="11" max="11" width="7.75390625" style="0" customWidth="1"/>
    <col min="12" max="12" width="8.75390625" style="0" customWidth="1"/>
    <col min="13" max="13" width="8.00390625" style="0" customWidth="1"/>
    <col min="14" max="14" width="8.375" style="0" customWidth="1"/>
  </cols>
  <sheetData>
    <row r="1" spans="1:14" ht="33" customHeight="1">
      <c r="A1" s="286" t="s">
        <v>338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s="190" customFormat="1" ht="26.25" customHeight="1">
      <c r="A2" s="191" t="s">
        <v>59</v>
      </c>
      <c r="B2" s="191" t="s">
        <v>0</v>
      </c>
      <c r="C2" s="191" t="s">
        <v>322</v>
      </c>
      <c r="D2" s="191" t="s">
        <v>316</v>
      </c>
      <c r="E2" s="191" t="s">
        <v>322</v>
      </c>
      <c r="F2" s="191" t="s">
        <v>316</v>
      </c>
      <c r="G2" s="191" t="s">
        <v>322</v>
      </c>
      <c r="H2" s="191" t="s">
        <v>316</v>
      </c>
      <c r="I2" s="191" t="s">
        <v>322</v>
      </c>
      <c r="J2" s="191" t="s">
        <v>316</v>
      </c>
      <c r="K2" s="191" t="s">
        <v>322</v>
      </c>
      <c r="L2" s="191" t="s">
        <v>316</v>
      </c>
      <c r="M2" s="191" t="s">
        <v>322</v>
      </c>
      <c r="N2" s="191" t="s">
        <v>316</v>
      </c>
    </row>
    <row r="3" spans="1:14" s="9" customFormat="1" ht="25.5" customHeight="1">
      <c r="A3" s="288" t="s">
        <v>236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90"/>
    </row>
    <row r="4" spans="1:14" s="18" customFormat="1" ht="18" customHeight="1">
      <c r="A4" s="239"/>
      <c r="B4" s="239"/>
      <c r="C4" s="293" t="s">
        <v>380</v>
      </c>
      <c r="D4" s="294"/>
      <c r="E4" s="293" t="s">
        <v>381</v>
      </c>
      <c r="F4" s="294"/>
      <c r="G4" s="293" t="s">
        <v>385</v>
      </c>
      <c r="H4" s="294"/>
      <c r="I4" s="293" t="s">
        <v>382</v>
      </c>
      <c r="J4" s="294"/>
      <c r="K4" s="293" t="s">
        <v>383</v>
      </c>
      <c r="L4" s="294"/>
      <c r="M4" s="293" t="s">
        <v>350</v>
      </c>
      <c r="N4" s="294"/>
    </row>
    <row r="5" spans="1:14" s="9" customFormat="1" ht="22.5" customHeight="1">
      <c r="A5" s="196">
        <v>801</v>
      </c>
      <c r="B5" s="192" t="s">
        <v>7</v>
      </c>
      <c r="C5" s="198">
        <f aca="true" t="shared" si="0" ref="C5:N5">C6</f>
        <v>199750</v>
      </c>
      <c r="D5" s="198">
        <f t="shared" si="0"/>
        <v>189366</v>
      </c>
      <c r="E5" s="198">
        <f t="shared" si="0"/>
        <v>104890</v>
      </c>
      <c r="F5" s="198">
        <f t="shared" si="0"/>
        <v>114571</v>
      </c>
      <c r="G5" s="198">
        <f t="shared" si="0"/>
        <v>102600</v>
      </c>
      <c r="H5" s="198">
        <f t="shared" si="0"/>
        <v>100346</v>
      </c>
      <c r="I5" s="198">
        <f t="shared" si="0"/>
        <v>116050</v>
      </c>
      <c r="J5" s="198">
        <f t="shared" si="0"/>
        <v>115473</v>
      </c>
      <c r="K5" s="198">
        <f t="shared" si="0"/>
        <v>201250</v>
      </c>
      <c r="L5" s="198">
        <f t="shared" si="0"/>
        <v>199724</v>
      </c>
      <c r="M5" s="198">
        <f t="shared" si="0"/>
        <v>724540</v>
      </c>
      <c r="N5" s="198">
        <f t="shared" si="0"/>
        <v>719480</v>
      </c>
    </row>
    <row r="6" spans="1:14" s="195" customFormat="1" ht="22.5" customHeight="1">
      <c r="A6" s="197">
        <v>80104</v>
      </c>
      <c r="B6" s="194" t="s">
        <v>40</v>
      </c>
      <c r="C6" s="199">
        <f aca="true" t="shared" si="1" ref="C6:N6">C7+C8+C9+C10</f>
        <v>199750</v>
      </c>
      <c r="D6" s="199">
        <f t="shared" si="1"/>
        <v>189366</v>
      </c>
      <c r="E6" s="199">
        <f t="shared" si="1"/>
        <v>104890</v>
      </c>
      <c r="F6" s="199">
        <f t="shared" si="1"/>
        <v>114571</v>
      </c>
      <c r="G6" s="199">
        <f t="shared" si="1"/>
        <v>102600</v>
      </c>
      <c r="H6" s="199">
        <f t="shared" si="1"/>
        <v>100346</v>
      </c>
      <c r="I6" s="199">
        <f t="shared" si="1"/>
        <v>116050</v>
      </c>
      <c r="J6" s="199">
        <f t="shared" si="1"/>
        <v>115473</v>
      </c>
      <c r="K6" s="199">
        <f t="shared" si="1"/>
        <v>201250</v>
      </c>
      <c r="L6" s="199">
        <f t="shared" si="1"/>
        <v>199724</v>
      </c>
      <c r="M6" s="199">
        <f t="shared" si="1"/>
        <v>724540</v>
      </c>
      <c r="N6" s="199">
        <f t="shared" si="1"/>
        <v>719480</v>
      </c>
    </row>
    <row r="7" spans="1:14" s="9" customFormat="1" ht="22.5" customHeight="1">
      <c r="A7" s="238"/>
      <c r="B7" s="192" t="s">
        <v>377</v>
      </c>
      <c r="C7" s="198">
        <v>117900</v>
      </c>
      <c r="D7" s="198">
        <v>110594</v>
      </c>
      <c r="E7" s="198">
        <v>53000</v>
      </c>
      <c r="F7" s="198">
        <v>65295</v>
      </c>
      <c r="G7" s="198">
        <v>58600</v>
      </c>
      <c r="H7" s="198">
        <v>56970</v>
      </c>
      <c r="I7" s="198">
        <v>68000</v>
      </c>
      <c r="J7" s="198">
        <v>69033</v>
      </c>
      <c r="K7" s="198">
        <v>113000</v>
      </c>
      <c r="L7" s="198">
        <v>113615</v>
      </c>
      <c r="M7" s="198">
        <f aca="true" t="shared" si="2" ref="M7:N10">C7+E7+G7+I7+K7</f>
        <v>410500</v>
      </c>
      <c r="N7" s="198">
        <f t="shared" si="2"/>
        <v>415507</v>
      </c>
    </row>
    <row r="8" spans="1:14" s="9" customFormat="1" ht="22.5" customHeight="1">
      <c r="A8" s="238"/>
      <c r="B8" s="192" t="s">
        <v>376</v>
      </c>
      <c r="C8" s="198">
        <v>81600</v>
      </c>
      <c r="D8" s="198">
        <v>78527</v>
      </c>
      <c r="E8" s="198">
        <v>50800</v>
      </c>
      <c r="F8" s="198">
        <v>48567</v>
      </c>
      <c r="G8" s="198">
        <v>43800</v>
      </c>
      <c r="H8" s="198">
        <v>43079</v>
      </c>
      <c r="I8" s="198">
        <v>47100</v>
      </c>
      <c r="J8" s="198">
        <v>45373</v>
      </c>
      <c r="K8" s="198">
        <v>88000</v>
      </c>
      <c r="L8" s="198">
        <v>85401</v>
      </c>
      <c r="M8" s="198">
        <f t="shared" si="2"/>
        <v>311300</v>
      </c>
      <c r="N8" s="198">
        <f t="shared" si="2"/>
        <v>300947</v>
      </c>
    </row>
    <row r="9" spans="1:14" s="9" customFormat="1" ht="22.5" customHeight="1">
      <c r="A9" s="238"/>
      <c r="B9" s="192" t="s">
        <v>375</v>
      </c>
      <c r="C9" s="198">
        <v>200</v>
      </c>
      <c r="D9" s="198">
        <v>231</v>
      </c>
      <c r="E9" s="198">
        <v>150</v>
      </c>
      <c r="F9" s="198">
        <v>177</v>
      </c>
      <c r="G9" s="198">
        <v>150</v>
      </c>
      <c r="H9" s="198">
        <v>159</v>
      </c>
      <c r="I9" s="198">
        <v>150</v>
      </c>
      <c r="J9" s="198">
        <v>198</v>
      </c>
      <c r="K9" s="198">
        <v>200</v>
      </c>
      <c r="L9" s="198">
        <v>237</v>
      </c>
      <c r="M9" s="198">
        <f t="shared" si="2"/>
        <v>850</v>
      </c>
      <c r="N9" s="198">
        <f t="shared" si="2"/>
        <v>1002</v>
      </c>
    </row>
    <row r="10" spans="1:14" s="9" customFormat="1" ht="22.5" customHeight="1">
      <c r="A10" s="238"/>
      <c r="B10" s="192" t="s">
        <v>103</v>
      </c>
      <c r="C10" s="198">
        <v>50</v>
      </c>
      <c r="D10" s="198">
        <v>14</v>
      </c>
      <c r="E10" s="198">
        <f>890+50</f>
        <v>940</v>
      </c>
      <c r="F10" s="198">
        <f>442+90</f>
        <v>532</v>
      </c>
      <c r="G10" s="198">
        <v>50</v>
      </c>
      <c r="H10" s="198">
        <f>32+106</f>
        <v>138</v>
      </c>
      <c r="I10" s="198">
        <v>800</v>
      </c>
      <c r="J10" s="198">
        <v>869</v>
      </c>
      <c r="K10" s="198">
        <v>50</v>
      </c>
      <c r="L10" s="198">
        <f>401+70</f>
        <v>471</v>
      </c>
      <c r="M10" s="198">
        <f t="shared" si="2"/>
        <v>1890</v>
      </c>
      <c r="N10" s="198">
        <f t="shared" si="2"/>
        <v>2024</v>
      </c>
    </row>
    <row r="11" spans="1:15" s="213" customFormat="1" ht="22.5" customHeight="1">
      <c r="A11" s="291" t="s">
        <v>342</v>
      </c>
      <c r="B11" s="292"/>
      <c r="C11" s="212">
        <f aca="true" t="shared" si="3" ref="C11:N11">C5</f>
        <v>199750</v>
      </c>
      <c r="D11" s="212">
        <f t="shared" si="3"/>
        <v>189366</v>
      </c>
      <c r="E11" s="212">
        <f t="shared" si="3"/>
        <v>104890</v>
      </c>
      <c r="F11" s="212">
        <f t="shared" si="3"/>
        <v>114571</v>
      </c>
      <c r="G11" s="212">
        <f t="shared" si="3"/>
        <v>102600</v>
      </c>
      <c r="H11" s="212">
        <f t="shared" si="3"/>
        <v>100346</v>
      </c>
      <c r="I11" s="212">
        <f t="shared" si="3"/>
        <v>116050</v>
      </c>
      <c r="J11" s="212">
        <f t="shared" si="3"/>
        <v>115473</v>
      </c>
      <c r="K11" s="212">
        <f t="shared" si="3"/>
        <v>201250</v>
      </c>
      <c r="L11" s="212">
        <f t="shared" si="3"/>
        <v>199724</v>
      </c>
      <c r="M11" s="212">
        <f t="shared" si="3"/>
        <v>724540</v>
      </c>
      <c r="N11" s="212">
        <f t="shared" si="3"/>
        <v>719480</v>
      </c>
      <c r="O11" s="234"/>
    </row>
    <row r="12" spans="1:14" s="9" customFormat="1" ht="25.5" customHeight="1">
      <c r="A12" s="288" t="s">
        <v>13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90"/>
    </row>
    <row r="13" spans="1:15" s="9" customFormat="1" ht="22.5" customHeight="1">
      <c r="A13" s="196">
        <v>801</v>
      </c>
      <c r="B13" s="192" t="s">
        <v>7</v>
      </c>
      <c r="C13" s="198">
        <f>C14+C19</f>
        <v>811751</v>
      </c>
      <c r="D13" s="198">
        <f>D14+D19</f>
        <v>783915</v>
      </c>
      <c r="E13" s="198">
        <f>E14+E19</f>
        <v>589690</v>
      </c>
      <c r="F13" s="198">
        <f aca="true" t="shared" si="4" ref="F13:L13">F14+F19</f>
        <v>570552</v>
      </c>
      <c r="G13" s="198">
        <f t="shared" si="4"/>
        <v>503325</v>
      </c>
      <c r="H13" s="198">
        <f t="shared" si="4"/>
        <v>486562</v>
      </c>
      <c r="I13" s="198">
        <f t="shared" si="4"/>
        <v>489720</v>
      </c>
      <c r="J13" s="198">
        <f t="shared" si="4"/>
        <v>480675</v>
      </c>
      <c r="K13" s="198">
        <f t="shared" si="4"/>
        <v>898898</v>
      </c>
      <c r="L13" s="198">
        <f t="shared" si="4"/>
        <v>885465</v>
      </c>
      <c r="M13" s="198">
        <f>M14+M19</f>
        <v>3293384</v>
      </c>
      <c r="N13" s="198">
        <f>N14+N19</f>
        <v>3207169</v>
      </c>
      <c r="O13" s="235"/>
    </row>
    <row r="14" spans="1:14" s="195" customFormat="1" ht="22.5" customHeight="1">
      <c r="A14" s="197">
        <v>80104</v>
      </c>
      <c r="B14" s="194" t="s">
        <v>40</v>
      </c>
      <c r="C14" s="199">
        <f>C15</f>
        <v>807071</v>
      </c>
      <c r="D14" s="199">
        <f>D15</f>
        <v>779267</v>
      </c>
      <c r="E14" s="199">
        <f>E15</f>
        <v>587190</v>
      </c>
      <c r="F14" s="199">
        <f aca="true" t="shared" si="5" ref="F14:L14">F15</f>
        <v>568120</v>
      </c>
      <c r="G14" s="199">
        <f t="shared" si="5"/>
        <v>502096</v>
      </c>
      <c r="H14" s="199">
        <f t="shared" si="5"/>
        <v>485366</v>
      </c>
      <c r="I14" s="199">
        <f t="shared" si="5"/>
        <v>488620</v>
      </c>
      <c r="J14" s="199">
        <f t="shared" si="5"/>
        <v>479582</v>
      </c>
      <c r="K14" s="199">
        <f t="shared" si="5"/>
        <v>894464</v>
      </c>
      <c r="L14" s="199">
        <f t="shared" si="5"/>
        <v>881152</v>
      </c>
      <c r="M14" s="199">
        <f>C14+E14+G14+I14+K14</f>
        <v>3279441</v>
      </c>
      <c r="N14" s="199">
        <f>D14+F14+H14+J14+L14</f>
        <v>3193487</v>
      </c>
    </row>
    <row r="15" spans="1:14" s="9" customFormat="1" ht="16.5" customHeight="1">
      <c r="A15" s="196"/>
      <c r="B15" s="201" t="s">
        <v>331</v>
      </c>
      <c r="C15" s="198">
        <f>1970+461076+35906+88505+12054+13000+81600+780+49200+7500+20636+50+34730+64</f>
        <v>807071</v>
      </c>
      <c r="D15" s="198">
        <f>1959+452425+35905+86110+11727+12974+73586+771+41186+7500+20284+47+34730+63</f>
        <v>779267</v>
      </c>
      <c r="E15" s="198">
        <f>2530+350001+25877+65293+8893+10810+50800+1960+40900+6064+98+336+23616+12</f>
        <v>587190</v>
      </c>
      <c r="F15" s="198">
        <f>2529+345015+25876+64467+8775+10805+47189+1960+31987+5496+69+325+23616+11</f>
        <v>568120</v>
      </c>
      <c r="G15" s="198">
        <f>1000+292623+21792+54562+7431+9100+43800+1100+35574+11000+24088+26</f>
        <v>502096</v>
      </c>
      <c r="H15" s="198">
        <f>986+286387+21792+52411+7138+9099+41560+1095+29988+10797+24088+25</f>
        <v>485366</v>
      </c>
      <c r="I15" s="198">
        <f>800+289741+22076+55282+7529+8000+47100+1000+22000+9500+100+500+24960+32</f>
        <v>488620</v>
      </c>
      <c r="J15" s="198">
        <f>798+287651+22076+54847+7469+7980+42804+1000+20397+8984+84+500+24960+32</f>
        <v>479582</v>
      </c>
      <c r="K15" s="198">
        <f>2500+519072+40768+98098+13337+21300+88000+1900+52800+11600+11500+250+2200+31114+25</f>
        <v>894464</v>
      </c>
      <c r="L15" s="198">
        <f>2483+517581+40768+97580+13289+21299+84550+1899+45281+11599+11346+170+2169+31114+24</f>
        <v>881152</v>
      </c>
      <c r="M15" s="198">
        <f aca="true" t="shared" si="6" ref="M15:N18">C15+E15+G15+I15+K15</f>
        <v>3279441</v>
      </c>
      <c r="N15" s="198">
        <f t="shared" si="6"/>
        <v>3193487</v>
      </c>
    </row>
    <row r="16" spans="1:14" s="9" customFormat="1" ht="16.5" customHeight="1">
      <c r="A16" s="196"/>
      <c r="B16" s="202" t="s">
        <v>328</v>
      </c>
      <c r="C16" s="198">
        <v>461076</v>
      </c>
      <c r="D16" s="198">
        <v>452425</v>
      </c>
      <c r="E16" s="198">
        <v>350001</v>
      </c>
      <c r="F16" s="198">
        <v>345015</v>
      </c>
      <c r="G16" s="198">
        <v>292623</v>
      </c>
      <c r="H16" s="198">
        <v>286387</v>
      </c>
      <c r="I16" s="198">
        <v>289741</v>
      </c>
      <c r="J16" s="198">
        <v>287651</v>
      </c>
      <c r="K16" s="198">
        <v>519072</v>
      </c>
      <c r="L16" s="198">
        <v>517581</v>
      </c>
      <c r="M16" s="198">
        <f t="shared" si="6"/>
        <v>1912513</v>
      </c>
      <c r="N16" s="198">
        <f t="shared" si="6"/>
        <v>1889059</v>
      </c>
    </row>
    <row r="17" spans="1:14" s="9" customFormat="1" ht="16.5" customHeight="1">
      <c r="A17" s="196"/>
      <c r="B17" s="202" t="s">
        <v>335</v>
      </c>
      <c r="C17" s="198">
        <f>35906+88505+12054</f>
        <v>136465</v>
      </c>
      <c r="D17" s="198">
        <f>35905+86110+11727</f>
        <v>133742</v>
      </c>
      <c r="E17" s="198">
        <f>25877+65293+8893</f>
        <v>100063</v>
      </c>
      <c r="F17" s="198">
        <f>25876+64467+8775</f>
        <v>99118</v>
      </c>
      <c r="G17" s="198">
        <f>21792+54562+7431</f>
        <v>83785</v>
      </c>
      <c r="H17" s="198">
        <f>21792+52411+7138</f>
        <v>81341</v>
      </c>
      <c r="I17" s="198">
        <f>22076+55282+7529</f>
        <v>84887</v>
      </c>
      <c r="J17" s="198">
        <f>22076+54847+7469</f>
        <v>84392</v>
      </c>
      <c r="K17" s="198">
        <f>40768+98098+13337</f>
        <v>152203</v>
      </c>
      <c r="L17" s="198">
        <f>40768+97580+13289</f>
        <v>151637</v>
      </c>
      <c r="M17" s="198">
        <f t="shared" si="6"/>
        <v>557403</v>
      </c>
      <c r="N17" s="198">
        <f>D17+F17+H17+J17+L17</f>
        <v>550230</v>
      </c>
    </row>
    <row r="18" spans="1:14" s="9" customFormat="1" ht="16.5" customHeight="1">
      <c r="A18" s="196"/>
      <c r="B18" s="202" t="s">
        <v>336</v>
      </c>
      <c r="C18" s="198">
        <f>1970+13000+81600+780+49200+7500+20636+50+34730+64</f>
        <v>209530</v>
      </c>
      <c r="D18" s="198">
        <f>1959+12974+73586+771+41186+7500+20284+47+34730+63</f>
        <v>193100</v>
      </c>
      <c r="E18" s="198">
        <f>2530+10810+50800+1960+40900+6064+98+336+23616+12</f>
        <v>137126</v>
      </c>
      <c r="F18" s="198">
        <f>2529+10805+47189+1960+31987+5496+69+325+23616+11</f>
        <v>123987</v>
      </c>
      <c r="G18" s="198">
        <f>1000+9100+43800+1100+35574+11000+24088+26</f>
        <v>125688</v>
      </c>
      <c r="H18" s="198">
        <f>986+9099+41560+1095+29988+10797+24088+25</f>
        <v>117638</v>
      </c>
      <c r="I18" s="198">
        <f>800+8000+47100+1000+22000+9500+100+500+24960+32</f>
        <v>113992</v>
      </c>
      <c r="J18" s="198">
        <f>798+7980+42804+1000+20397+8984+84+500+24960+32</f>
        <v>107539</v>
      </c>
      <c r="K18" s="198">
        <f>2500+21300+88000+1900+52800+11600+11500+250+2200+31114+25</f>
        <v>223189</v>
      </c>
      <c r="L18" s="198">
        <f>2483+21299+84550+1899+45281+11599+11346+170+2169+31114+24</f>
        <v>211934</v>
      </c>
      <c r="M18" s="198">
        <f t="shared" si="6"/>
        <v>809525</v>
      </c>
      <c r="N18" s="198">
        <f t="shared" si="6"/>
        <v>754198</v>
      </c>
    </row>
    <row r="19" spans="1:14" s="206" customFormat="1" ht="29.25" customHeight="1">
      <c r="A19" s="203">
        <v>80146</v>
      </c>
      <c r="B19" s="204" t="s">
        <v>43</v>
      </c>
      <c r="C19" s="205">
        <f aca="true" t="shared" si="7" ref="C19:L19">C20</f>
        <v>4680</v>
      </c>
      <c r="D19" s="205">
        <f t="shared" si="7"/>
        <v>4648</v>
      </c>
      <c r="E19" s="205">
        <f t="shared" si="7"/>
        <v>2500</v>
      </c>
      <c r="F19" s="205">
        <f t="shared" si="7"/>
        <v>2432</v>
      </c>
      <c r="G19" s="205">
        <f t="shared" si="7"/>
        <v>1229</v>
      </c>
      <c r="H19" s="205">
        <f t="shared" si="7"/>
        <v>1196</v>
      </c>
      <c r="I19" s="205">
        <f t="shared" si="7"/>
        <v>1100</v>
      </c>
      <c r="J19" s="205">
        <f t="shared" si="7"/>
        <v>1093</v>
      </c>
      <c r="K19" s="205">
        <f t="shared" si="7"/>
        <v>4434</v>
      </c>
      <c r="L19" s="205">
        <f t="shared" si="7"/>
        <v>4313</v>
      </c>
      <c r="M19" s="205">
        <f>M20</f>
        <v>13943</v>
      </c>
      <c r="N19" s="205">
        <f>N20</f>
        <v>13682</v>
      </c>
    </row>
    <row r="20" spans="1:14" s="9" customFormat="1" ht="16.5" customHeight="1">
      <c r="A20" s="196"/>
      <c r="B20" s="201" t="s">
        <v>325</v>
      </c>
      <c r="C20" s="198">
        <f>3500+500+680</f>
        <v>4680</v>
      </c>
      <c r="D20" s="198">
        <f>3500+468+680</f>
        <v>4648</v>
      </c>
      <c r="E20" s="198">
        <f>2000+500</f>
        <v>2500</v>
      </c>
      <c r="F20" s="198">
        <f>2000+432</f>
        <v>2432</v>
      </c>
      <c r="G20" s="198">
        <f>500+200+500+29</f>
        <v>1229</v>
      </c>
      <c r="H20" s="198">
        <f>500+199+497</f>
        <v>1196</v>
      </c>
      <c r="I20" s="198">
        <f>700+400</f>
        <v>1100</v>
      </c>
      <c r="J20" s="198">
        <f>700+393</f>
        <v>1093</v>
      </c>
      <c r="K20" s="198">
        <f>2800+1430+204</f>
        <v>4434</v>
      </c>
      <c r="L20" s="198">
        <f>2800+1423+90</f>
        <v>4313</v>
      </c>
      <c r="M20" s="198">
        <f>C20+E20+G20+I20+K20</f>
        <v>13943</v>
      </c>
      <c r="N20" s="198">
        <f>D20+F20+H20+J20+L20</f>
        <v>13682</v>
      </c>
    </row>
    <row r="21" spans="1:14" s="213" customFormat="1" ht="20.25" customHeight="1">
      <c r="A21" s="291" t="s">
        <v>343</v>
      </c>
      <c r="B21" s="292"/>
      <c r="C21" s="212">
        <f aca="true" t="shared" si="8" ref="C21:N21">C13</f>
        <v>811751</v>
      </c>
      <c r="D21" s="212">
        <f t="shared" si="8"/>
        <v>783915</v>
      </c>
      <c r="E21" s="212">
        <f t="shared" si="8"/>
        <v>589690</v>
      </c>
      <c r="F21" s="212">
        <f t="shared" si="8"/>
        <v>570552</v>
      </c>
      <c r="G21" s="212">
        <f t="shared" si="8"/>
        <v>503325</v>
      </c>
      <c r="H21" s="212">
        <f t="shared" si="8"/>
        <v>486562</v>
      </c>
      <c r="I21" s="212">
        <f t="shared" si="8"/>
        <v>489720</v>
      </c>
      <c r="J21" s="212">
        <f t="shared" si="8"/>
        <v>480675</v>
      </c>
      <c r="K21" s="212">
        <f t="shared" si="8"/>
        <v>898898</v>
      </c>
      <c r="L21" s="212">
        <f t="shared" si="8"/>
        <v>885465</v>
      </c>
      <c r="M21" s="212">
        <f t="shared" si="8"/>
        <v>3293384</v>
      </c>
      <c r="N21" s="212">
        <f t="shared" si="8"/>
        <v>3207169</v>
      </c>
    </row>
    <row r="22" spans="1:14" s="9" customFormat="1" ht="11.25">
      <c r="A22" s="55"/>
      <c r="B22" s="193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</row>
    <row r="23" spans="1:14" s="9" customFormat="1" ht="11.25">
      <c r="A23" s="55"/>
      <c r="B23" s="193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</row>
    <row r="24" spans="1:14" s="9" customFormat="1" ht="11.25">
      <c r="A24" s="55"/>
      <c r="B24" s="193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</row>
    <row r="25" spans="1:14" s="9" customFormat="1" ht="11.25">
      <c r="A25" s="55"/>
      <c r="B25" s="193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</row>
    <row r="26" spans="1:14" s="9" customFormat="1" ht="11.25">
      <c r="A26" s="55"/>
      <c r="B26" s="193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</row>
    <row r="27" spans="1:14" s="9" customFormat="1" ht="11.25">
      <c r="A27" s="55"/>
      <c r="B27" s="193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</row>
    <row r="28" spans="1:14" s="9" customFormat="1" ht="11.25">
      <c r="A28" s="55"/>
      <c r="B28" s="193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s="9" customFormat="1" ht="11.25">
      <c r="A29" s="55"/>
      <c r="B29" s="193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0" spans="1:14" s="9" customFormat="1" ht="11.25">
      <c r="A30" s="55"/>
      <c r="B30" s="193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</row>
    <row r="31" spans="1:2" s="9" customFormat="1" ht="11.25">
      <c r="A31" s="55"/>
      <c r="B31" s="193"/>
    </row>
    <row r="32" spans="1:2" s="9" customFormat="1" ht="11.25">
      <c r="A32" s="55"/>
      <c r="B32" s="193"/>
    </row>
    <row r="33" spans="1:2" s="9" customFormat="1" ht="11.25">
      <c r="A33" s="55"/>
      <c r="B33" s="193"/>
    </row>
    <row r="34" spans="1:2" s="9" customFormat="1" ht="11.25">
      <c r="A34" s="55"/>
      <c r="B34" s="193"/>
    </row>
    <row r="35" s="9" customFormat="1" ht="11.25">
      <c r="B35" s="193"/>
    </row>
    <row r="36" s="9" customFormat="1" ht="11.25">
      <c r="B36" s="193"/>
    </row>
    <row r="37" s="9" customFormat="1" ht="11.25">
      <c r="B37" s="193"/>
    </row>
    <row r="38" s="9" customFormat="1" ht="11.25">
      <c r="B38" s="193"/>
    </row>
    <row r="39" s="9" customFormat="1" ht="11.25">
      <c r="B39" s="193"/>
    </row>
    <row r="40" s="9" customFormat="1" ht="11.25">
      <c r="B40" s="193"/>
    </row>
    <row r="41" s="9" customFormat="1" ht="11.25">
      <c r="B41" s="193"/>
    </row>
    <row r="42" s="9" customFormat="1" ht="11.25">
      <c r="B42" s="193"/>
    </row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</sheetData>
  <mergeCells count="11">
    <mergeCell ref="A21:B21"/>
    <mergeCell ref="A1:N1"/>
    <mergeCell ref="A3:N3"/>
    <mergeCell ref="A12:N12"/>
    <mergeCell ref="A11:B11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B1">
      <selection activeCell="F3" sqref="F3:F5"/>
    </sheetView>
  </sheetViews>
  <sheetFormatPr defaultColWidth="9.00390625" defaultRowHeight="12.75"/>
  <cols>
    <col min="1" max="1" width="12.625" style="0" customWidth="1"/>
    <col min="2" max="2" width="33.25390625" style="0" customWidth="1"/>
    <col min="3" max="3" width="13.75390625" style="0" customWidth="1"/>
    <col min="4" max="4" width="14.125" style="0" customWidth="1"/>
    <col min="5" max="5" width="14.375" style="0" customWidth="1"/>
    <col min="6" max="6" width="13.75390625" style="0" customWidth="1"/>
    <col min="7" max="7" width="14.125" style="0" customWidth="1"/>
    <col min="8" max="8" width="14.375" style="0" customWidth="1"/>
  </cols>
  <sheetData>
    <row r="1" spans="1:8" ht="33" customHeight="1">
      <c r="A1" s="286" t="s">
        <v>344</v>
      </c>
      <c r="B1" s="286"/>
      <c r="C1" s="286"/>
      <c r="D1" s="286"/>
      <c r="E1" s="286"/>
      <c r="F1" s="286"/>
      <c r="G1" s="286"/>
      <c r="H1" s="286"/>
    </row>
    <row r="2" spans="1:8" s="175" customFormat="1" ht="16.5" customHeight="1">
      <c r="A2" s="295" t="s">
        <v>59</v>
      </c>
      <c r="B2" s="295" t="s">
        <v>0</v>
      </c>
      <c r="C2" s="298" t="s">
        <v>163</v>
      </c>
      <c r="D2" s="299"/>
      <c r="E2" s="299"/>
      <c r="F2" s="298" t="s">
        <v>0</v>
      </c>
      <c r="G2" s="299"/>
      <c r="H2" s="304"/>
    </row>
    <row r="3" spans="1:8" s="175" customFormat="1" ht="15" customHeight="1">
      <c r="A3" s="296"/>
      <c r="B3" s="296"/>
      <c r="C3" s="295" t="s">
        <v>84</v>
      </c>
      <c r="D3" s="298" t="s">
        <v>347</v>
      </c>
      <c r="E3" s="299"/>
      <c r="F3" s="295" t="s">
        <v>84</v>
      </c>
      <c r="G3" s="298" t="s">
        <v>347</v>
      </c>
      <c r="H3" s="304"/>
    </row>
    <row r="4" spans="1:8" s="175" customFormat="1" ht="12.75" customHeight="1">
      <c r="A4" s="296"/>
      <c r="B4" s="296"/>
      <c r="C4" s="296"/>
      <c r="D4" s="300" t="s">
        <v>348</v>
      </c>
      <c r="E4" s="300" t="s">
        <v>349</v>
      </c>
      <c r="F4" s="296"/>
      <c r="G4" s="300" t="s">
        <v>348</v>
      </c>
      <c r="H4" s="300" t="s">
        <v>349</v>
      </c>
    </row>
    <row r="5" spans="1:8" s="175" customFormat="1" ht="6.75" customHeight="1">
      <c r="A5" s="297"/>
      <c r="B5" s="297"/>
      <c r="C5" s="297"/>
      <c r="D5" s="301"/>
      <c r="E5" s="301"/>
      <c r="F5" s="297"/>
      <c r="G5" s="301"/>
      <c r="H5" s="301"/>
    </row>
    <row r="6" spans="1:8" s="6" customFormat="1" ht="21.75" customHeight="1">
      <c r="A6" s="287" t="s">
        <v>236</v>
      </c>
      <c r="B6" s="287"/>
      <c r="C6" s="287"/>
      <c r="D6" s="287"/>
      <c r="E6" s="287"/>
      <c r="F6" s="287"/>
      <c r="G6" s="287"/>
      <c r="H6" s="287"/>
    </row>
    <row r="7" spans="1:8" s="6" customFormat="1" ht="21.75" customHeight="1">
      <c r="A7" s="236">
        <v>852</v>
      </c>
      <c r="B7" s="178" t="s">
        <v>8</v>
      </c>
      <c r="C7" s="221">
        <f>C8+C11</f>
        <v>26500</v>
      </c>
      <c r="D7" s="179"/>
      <c r="E7" s="179">
        <f>E8+E11</f>
        <v>26500</v>
      </c>
      <c r="F7" s="179">
        <f>F8+F11</f>
        <v>29248</v>
      </c>
      <c r="G7" s="179"/>
      <c r="H7" s="179">
        <f>H8+H11</f>
        <v>29248</v>
      </c>
    </row>
    <row r="8" spans="1:8" s="240" customFormat="1" ht="21.75" customHeight="1">
      <c r="A8" s="237">
        <v>85219</v>
      </c>
      <c r="B8" s="162" t="s">
        <v>20</v>
      </c>
      <c r="C8" s="187">
        <f aca="true" t="shared" si="0" ref="C8:C13">E8</f>
        <v>500</v>
      </c>
      <c r="D8" s="242"/>
      <c r="E8" s="182">
        <f>E9+E10</f>
        <v>500</v>
      </c>
      <c r="F8" s="125">
        <f aca="true" t="shared" si="1" ref="F8:F13">H8</f>
        <v>698</v>
      </c>
      <c r="G8" s="125"/>
      <c r="H8" s="125">
        <f>H9+H10</f>
        <v>698</v>
      </c>
    </row>
    <row r="9" spans="1:8" s="241" customFormat="1" ht="18" customHeight="1">
      <c r="A9" s="144"/>
      <c r="B9" s="164" t="s">
        <v>375</v>
      </c>
      <c r="C9" s="169">
        <f t="shared" si="0"/>
        <v>500</v>
      </c>
      <c r="D9" s="169"/>
      <c r="E9" s="169">
        <v>500</v>
      </c>
      <c r="F9" s="169">
        <f t="shared" si="1"/>
        <v>658</v>
      </c>
      <c r="G9" s="169"/>
      <c r="H9" s="169">
        <v>658</v>
      </c>
    </row>
    <row r="10" spans="1:8" s="6" customFormat="1" ht="18" customHeight="1">
      <c r="A10" s="177"/>
      <c r="B10" s="178" t="s">
        <v>103</v>
      </c>
      <c r="C10" s="208">
        <f t="shared" si="0"/>
        <v>0</v>
      </c>
      <c r="D10" s="208"/>
      <c r="E10" s="208">
        <v>0</v>
      </c>
      <c r="F10" s="208">
        <f t="shared" si="1"/>
        <v>40</v>
      </c>
      <c r="G10" s="208"/>
      <c r="H10" s="208">
        <v>40</v>
      </c>
    </row>
    <row r="11" spans="1:8" s="240" customFormat="1" ht="21.75" customHeight="1">
      <c r="A11" s="161">
        <v>85228</v>
      </c>
      <c r="B11" s="162" t="s">
        <v>384</v>
      </c>
      <c r="C11" s="125">
        <f t="shared" si="0"/>
        <v>26000</v>
      </c>
      <c r="D11" s="125"/>
      <c r="E11" s="125">
        <f>E12+E13</f>
        <v>26000</v>
      </c>
      <c r="F11" s="125">
        <f t="shared" si="1"/>
        <v>28550</v>
      </c>
      <c r="G11" s="125"/>
      <c r="H11" s="125">
        <f>H12+H13</f>
        <v>28550</v>
      </c>
    </row>
    <row r="12" spans="1:8" s="241" customFormat="1" ht="18" customHeight="1">
      <c r="A12" s="144"/>
      <c r="B12" s="164" t="s">
        <v>362</v>
      </c>
      <c r="C12" s="169">
        <f t="shared" si="0"/>
        <v>26000</v>
      </c>
      <c r="D12" s="169"/>
      <c r="E12" s="169">
        <v>26000</v>
      </c>
      <c r="F12" s="169">
        <f t="shared" si="1"/>
        <v>28520</v>
      </c>
      <c r="G12" s="169"/>
      <c r="H12" s="169">
        <v>28520</v>
      </c>
    </row>
    <row r="13" spans="1:8" s="6" customFormat="1" ht="18" customHeight="1">
      <c r="A13" s="177"/>
      <c r="B13" s="178" t="s">
        <v>375</v>
      </c>
      <c r="C13" s="208">
        <f t="shared" si="0"/>
        <v>0</v>
      </c>
      <c r="D13" s="208"/>
      <c r="E13" s="208">
        <v>0</v>
      </c>
      <c r="F13" s="208">
        <f t="shared" si="1"/>
        <v>30</v>
      </c>
      <c r="G13" s="208"/>
      <c r="H13" s="208">
        <v>30</v>
      </c>
    </row>
    <row r="14" spans="1:8" s="215" customFormat="1" ht="21.75" customHeight="1">
      <c r="A14" s="279" t="s">
        <v>342</v>
      </c>
      <c r="B14" s="280"/>
      <c r="C14" s="172">
        <f>C7</f>
        <v>26500</v>
      </c>
      <c r="D14" s="172"/>
      <c r="E14" s="172">
        <f>E7</f>
        <v>26500</v>
      </c>
      <c r="F14" s="172">
        <f>F7</f>
        <v>29248</v>
      </c>
      <c r="G14" s="172"/>
      <c r="H14" s="172">
        <f>H7</f>
        <v>29248</v>
      </c>
    </row>
    <row r="15" spans="1:8" ht="21.75" customHeight="1">
      <c r="A15" s="302" t="s">
        <v>13</v>
      </c>
      <c r="B15" s="258"/>
      <c r="C15" s="258"/>
      <c r="D15" s="258"/>
      <c r="E15" s="258"/>
      <c r="F15" s="258"/>
      <c r="G15" s="258"/>
      <c r="H15" s="303"/>
    </row>
    <row r="16" spans="1:8" ht="21.75" customHeight="1">
      <c r="A16" s="177">
        <v>851</v>
      </c>
      <c r="B16" s="178" t="s">
        <v>44</v>
      </c>
      <c r="C16" s="208">
        <f>E16</f>
        <v>40000</v>
      </c>
      <c r="D16" s="208"/>
      <c r="E16" s="208">
        <f>E17</f>
        <v>40000</v>
      </c>
      <c r="F16" s="208">
        <f>H16</f>
        <v>40000</v>
      </c>
      <c r="G16" s="208"/>
      <c r="H16" s="208">
        <f>H17</f>
        <v>40000</v>
      </c>
    </row>
    <row r="17" spans="1:8" s="80" customFormat="1" ht="25.5" customHeight="1">
      <c r="A17" s="161">
        <v>85154</v>
      </c>
      <c r="B17" s="162" t="s">
        <v>46</v>
      </c>
      <c r="C17" s="125">
        <f>E17</f>
        <v>40000</v>
      </c>
      <c r="D17" s="125"/>
      <c r="E17" s="125">
        <f>E18</f>
        <v>40000</v>
      </c>
      <c r="F17" s="125">
        <f>H17</f>
        <v>40000</v>
      </c>
      <c r="G17" s="125"/>
      <c r="H17" s="125">
        <f>H18</f>
        <v>40000</v>
      </c>
    </row>
    <row r="18" spans="1:8" ht="19.5" customHeight="1">
      <c r="A18" s="177"/>
      <c r="B18" s="178" t="s">
        <v>325</v>
      </c>
      <c r="C18" s="208">
        <f>E18</f>
        <v>40000</v>
      </c>
      <c r="D18" s="208"/>
      <c r="E18" s="208">
        <v>40000</v>
      </c>
      <c r="F18" s="208">
        <f>H18</f>
        <v>40000</v>
      </c>
      <c r="G18" s="208"/>
      <c r="H18" s="208">
        <v>40000</v>
      </c>
    </row>
    <row r="19" spans="1:8" ht="21.75" customHeight="1">
      <c r="A19" s="177">
        <v>852</v>
      </c>
      <c r="B19" s="178" t="s">
        <v>8</v>
      </c>
      <c r="C19" s="208">
        <f>D19+E19</f>
        <v>1800538</v>
      </c>
      <c r="D19" s="208">
        <f>D20+D22+D24</f>
        <v>393109</v>
      </c>
      <c r="E19" s="208">
        <f>E22+E24+E29</f>
        <v>1407429</v>
      </c>
      <c r="F19" s="208">
        <f>G19+H19</f>
        <v>1797344</v>
      </c>
      <c r="G19" s="208">
        <f>G20+G22+G24</f>
        <v>391113</v>
      </c>
      <c r="H19" s="208">
        <f>H22+H24+H29</f>
        <v>1406231</v>
      </c>
    </row>
    <row r="20" spans="1:8" s="80" customFormat="1" ht="71.25" customHeight="1">
      <c r="A20" s="161">
        <v>85213</v>
      </c>
      <c r="B20" s="163" t="s">
        <v>213</v>
      </c>
      <c r="C20" s="125"/>
      <c r="D20" s="182">
        <f>D21</f>
        <v>17373</v>
      </c>
      <c r="E20" s="182"/>
      <c r="F20" s="182">
        <f>F21</f>
        <v>17373</v>
      </c>
      <c r="G20" s="182">
        <f>G21</f>
        <v>17373</v>
      </c>
      <c r="H20" s="182"/>
    </row>
    <row r="21" spans="1:8" ht="17.25" customHeight="1">
      <c r="A21" s="177"/>
      <c r="B21" s="217" t="s">
        <v>345</v>
      </c>
      <c r="C21" s="179">
        <f>D21</f>
        <v>17373</v>
      </c>
      <c r="D21" s="179">
        <v>17373</v>
      </c>
      <c r="E21" s="179"/>
      <c r="F21" s="179">
        <f>G21</f>
        <v>17373</v>
      </c>
      <c r="G21" s="179">
        <v>17373</v>
      </c>
      <c r="H21" s="179"/>
    </row>
    <row r="22" spans="1:8" s="80" customFormat="1" ht="46.5" customHeight="1">
      <c r="A22" s="161">
        <v>85214</v>
      </c>
      <c r="B22" s="216" t="s">
        <v>221</v>
      </c>
      <c r="C22" s="182">
        <f aca="true" t="shared" si="2" ref="C22:C27">D22+E22</f>
        <v>664076</v>
      </c>
      <c r="D22" s="182">
        <f>D23</f>
        <v>233136</v>
      </c>
      <c r="E22" s="182">
        <f>E23</f>
        <v>430940</v>
      </c>
      <c r="F22" s="182">
        <f aca="true" t="shared" si="3" ref="F22:F28">G22+H22</f>
        <v>662085</v>
      </c>
      <c r="G22" s="182">
        <f>G23</f>
        <v>231145</v>
      </c>
      <c r="H22" s="182">
        <f>H23</f>
        <v>430940</v>
      </c>
    </row>
    <row r="23" spans="1:8" ht="19.5" customHeight="1">
      <c r="A23" s="177"/>
      <c r="B23" s="217" t="s">
        <v>345</v>
      </c>
      <c r="C23" s="179">
        <f t="shared" si="2"/>
        <v>664076</v>
      </c>
      <c r="D23" s="179">
        <v>233136</v>
      </c>
      <c r="E23" s="179">
        <f>419922+11018</f>
        <v>430940</v>
      </c>
      <c r="F23" s="179">
        <f t="shared" si="3"/>
        <v>662085</v>
      </c>
      <c r="G23" s="179">
        <v>231145</v>
      </c>
      <c r="H23" s="179">
        <f>419922+11018</f>
        <v>430940</v>
      </c>
    </row>
    <row r="24" spans="1:8" s="80" customFormat="1" ht="21.75" customHeight="1">
      <c r="A24" s="161">
        <v>85219</v>
      </c>
      <c r="B24" s="216" t="s">
        <v>20</v>
      </c>
      <c r="C24" s="182">
        <f t="shared" si="2"/>
        <v>891049</v>
      </c>
      <c r="D24" s="182">
        <f>D25</f>
        <v>142600</v>
      </c>
      <c r="E24" s="182">
        <f>E25</f>
        <v>748449</v>
      </c>
      <c r="F24" s="182">
        <f t="shared" si="3"/>
        <v>889846</v>
      </c>
      <c r="G24" s="182">
        <f>G25</f>
        <v>142595</v>
      </c>
      <c r="H24" s="182">
        <f>H25</f>
        <v>747251</v>
      </c>
    </row>
    <row r="25" spans="1:8" s="30" customFormat="1" ht="19.5" customHeight="1">
      <c r="A25" s="144"/>
      <c r="B25" s="218" t="s">
        <v>346</v>
      </c>
      <c r="C25" s="184">
        <f t="shared" si="2"/>
        <v>891049</v>
      </c>
      <c r="D25" s="184">
        <f>990+102388+7121+19207+2655+2101+3000+95+643+4400</f>
        <v>142600</v>
      </c>
      <c r="E25" s="184">
        <f>6914+508334+39908+92464+12851+8600+5000+34019+4130+17455+126+316+18332</f>
        <v>748449</v>
      </c>
      <c r="F25" s="184">
        <f t="shared" si="3"/>
        <v>889846</v>
      </c>
      <c r="G25" s="184">
        <f>989+102388+7120+19206+2654+2100+3000+95+643+4400</f>
        <v>142595</v>
      </c>
      <c r="H25" s="184">
        <f>6908+508332+39907+92463+12851+8600+5000+34019+3098+17301+125+316+18331</f>
        <v>747251</v>
      </c>
    </row>
    <row r="26" spans="1:8" s="30" customFormat="1" ht="19.5" customHeight="1">
      <c r="A26" s="144"/>
      <c r="B26" s="220" t="s">
        <v>328</v>
      </c>
      <c r="C26" s="184">
        <f t="shared" si="2"/>
        <v>610722</v>
      </c>
      <c r="D26" s="184">
        <v>102388</v>
      </c>
      <c r="E26" s="184">
        <v>508334</v>
      </c>
      <c r="F26" s="184">
        <f t="shared" si="3"/>
        <v>610720</v>
      </c>
      <c r="G26" s="184">
        <v>102388</v>
      </c>
      <c r="H26" s="184">
        <v>508332</v>
      </c>
    </row>
    <row r="27" spans="1:8" s="30" customFormat="1" ht="19.5" customHeight="1">
      <c r="A27" s="144"/>
      <c r="B27" s="220" t="s">
        <v>335</v>
      </c>
      <c r="C27" s="184">
        <f t="shared" si="2"/>
        <v>182206</v>
      </c>
      <c r="D27" s="184">
        <f>7121+19207+2655+3000</f>
        <v>31983</v>
      </c>
      <c r="E27" s="184">
        <f>39908+92464+12851+5000</f>
        <v>150223</v>
      </c>
      <c r="F27" s="184">
        <f t="shared" si="3"/>
        <v>182201</v>
      </c>
      <c r="G27" s="184">
        <f>7120+19206+2654+3000</f>
        <v>31980</v>
      </c>
      <c r="H27" s="184">
        <f>39907+92463+12851+5000</f>
        <v>150221</v>
      </c>
    </row>
    <row r="28" spans="1:8" ht="19.5" customHeight="1">
      <c r="A28" s="177"/>
      <c r="B28" s="219" t="s">
        <v>336</v>
      </c>
      <c r="C28" s="179">
        <f>D28+E28</f>
        <v>98121</v>
      </c>
      <c r="D28" s="179">
        <f>990+2101+95+643+4400</f>
        <v>8229</v>
      </c>
      <c r="E28" s="7">
        <f>6914+8600+34019+4130+17455+126+316+18332</f>
        <v>89892</v>
      </c>
      <c r="F28" s="179">
        <f t="shared" si="3"/>
        <v>96925</v>
      </c>
      <c r="G28" s="179">
        <f>989+2100+95+643+4400</f>
        <v>8227</v>
      </c>
      <c r="H28" s="179">
        <f>6908+8600+34019+3098+17301+125+316+18331</f>
        <v>88698</v>
      </c>
    </row>
    <row r="29" spans="1:8" s="80" customFormat="1" ht="21.75" customHeight="1">
      <c r="A29" s="161">
        <v>85295</v>
      </c>
      <c r="B29" s="216" t="s">
        <v>197</v>
      </c>
      <c r="C29" s="182">
        <f>C30</f>
        <v>228040</v>
      </c>
      <c r="D29" s="182"/>
      <c r="E29" s="182">
        <f>E30</f>
        <v>228040</v>
      </c>
      <c r="F29" s="182">
        <f>F30</f>
        <v>228040</v>
      </c>
      <c r="G29" s="182"/>
      <c r="H29" s="182">
        <f>H30</f>
        <v>228040</v>
      </c>
    </row>
    <row r="30" spans="1:8" ht="19.5" customHeight="1">
      <c r="A30" s="177"/>
      <c r="B30" s="217" t="s">
        <v>325</v>
      </c>
      <c r="C30" s="179">
        <f>E30</f>
        <v>228040</v>
      </c>
      <c r="D30" s="179"/>
      <c r="E30" s="179">
        <v>228040</v>
      </c>
      <c r="F30" s="179">
        <f>H30</f>
        <v>228040</v>
      </c>
      <c r="G30" s="179"/>
      <c r="H30" s="179">
        <v>228040</v>
      </c>
    </row>
    <row r="31" spans="1:8" s="129" customFormat="1" ht="21.75" customHeight="1">
      <c r="A31" s="279" t="s">
        <v>343</v>
      </c>
      <c r="B31" s="280"/>
      <c r="C31" s="183">
        <f aca="true" t="shared" si="4" ref="C31:H31">C16+C19</f>
        <v>1840538</v>
      </c>
      <c r="D31" s="183">
        <f t="shared" si="4"/>
        <v>393109</v>
      </c>
      <c r="E31" s="183">
        <f t="shared" si="4"/>
        <v>1447429</v>
      </c>
      <c r="F31" s="183">
        <f t="shared" si="4"/>
        <v>1837344</v>
      </c>
      <c r="G31" s="183">
        <f t="shared" si="4"/>
        <v>391113</v>
      </c>
      <c r="H31" s="183">
        <f t="shared" si="4"/>
        <v>1446231</v>
      </c>
    </row>
  </sheetData>
  <mergeCells count="17">
    <mergeCell ref="A1:H1"/>
    <mergeCell ref="A14:B14"/>
    <mergeCell ref="A15:H15"/>
    <mergeCell ref="F2:H2"/>
    <mergeCell ref="F3:F5"/>
    <mergeCell ref="G4:G5"/>
    <mergeCell ref="G3:H3"/>
    <mergeCell ref="E4:E5"/>
    <mergeCell ref="H4:H5"/>
    <mergeCell ref="A31:B31"/>
    <mergeCell ref="B2:B5"/>
    <mergeCell ref="A2:A5"/>
    <mergeCell ref="C2:E2"/>
    <mergeCell ref="C3:C5"/>
    <mergeCell ref="D3:E3"/>
    <mergeCell ref="D4:D5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8" sqref="D8"/>
    </sheetView>
  </sheetViews>
  <sheetFormatPr defaultColWidth="9.00390625" defaultRowHeight="12.75"/>
  <cols>
    <col min="1" max="1" width="14.00390625" style="0" customWidth="1"/>
    <col min="2" max="2" width="39.25390625" style="0" customWidth="1"/>
    <col min="3" max="3" width="16.875" style="0" customWidth="1"/>
    <col min="4" max="4" width="15.875" style="0" customWidth="1"/>
  </cols>
  <sheetData>
    <row r="1" spans="1:5" ht="45" customHeight="1">
      <c r="A1" s="286" t="s">
        <v>339</v>
      </c>
      <c r="B1" s="286"/>
      <c r="C1" s="286"/>
      <c r="D1" s="286"/>
      <c r="E1" s="286"/>
    </row>
    <row r="2" spans="1:4" s="8" customFormat="1" ht="25.5" customHeight="1">
      <c r="A2" s="177" t="s">
        <v>59</v>
      </c>
      <c r="B2" s="177" t="s">
        <v>0</v>
      </c>
      <c r="C2" s="177" t="s">
        <v>163</v>
      </c>
      <c r="D2" s="177" t="s">
        <v>164</v>
      </c>
    </row>
    <row r="3" spans="1:4" ht="25.5" customHeight="1">
      <c r="A3" s="287" t="s">
        <v>236</v>
      </c>
      <c r="B3" s="287"/>
      <c r="C3" s="287"/>
      <c r="D3" s="287"/>
    </row>
    <row r="4" spans="1:4" ht="21.75" customHeight="1">
      <c r="A4" s="177">
        <v>926</v>
      </c>
      <c r="B4" s="178" t="s">
        <v>10</v>
      </c>
      <c r="C4" s="208">
        <f>C5</f>
        <v>110916</v>
      </c>
      <c r="D4" s="208">
        <f>D5</f>
        <v>100317</v>
      </c>
    </row>
    <row r="5" spans="1:4" s="80" customFormat="1" ht="21.75" customHeight="1">
      <c r="A5" s="161">
        <v>92604</v>
      </c>
      <c r="B5" s="162" t="s">
        <v>57</v>
      </c>
      <c r="C5" s="125">
        <f>C6+C7+C8+C9</f>
        <v>110916</v>
      </c>
      <c r="D5" s="125">
        <f>D6+D7+D8+D9</f>
        <v>100317</v>
      </c>
    </row>
    <row r="6" spans="1:4" ht="76.5">
      <c r="A6" s="207"/>
      <c r="B6" s="74" t="s">
        <v>340</v>
      </c>
      <c r="C6" s="209">
        <v>28996</v>
      </c>
      <c r="D6" s="209">
        <v>15646</v>
      </c>
    </row>
    <row r="7" spans="1:4" ht="21.75" customHeight="1">
      <c r="A7" s="207"/>
      <c r="B7" s="74" t="s">
        <v>362</v>
      </c>
      <c r="C7" s="209">
        <v>81620</v>
      </c>
      <c r="D7" s="209">
        <v>81898</v>
      </c>
    </row>
    <row r="8" spans="1:4" ht="21.75" customHeight="1">
      <c r="A8" s="207"/>
      <c r="B8" s="74" t="s">
        <v>375</v>
      </c>
      <c r="C8" s="209">
        <v>300</v>
      </c>
      <c r="D8" s="209">
        <v>194</v>
      </c>
    </row>
    <row r="9" spans="1:4" s="6" customFormat="1" ht="21.75" customHeight="1">
      <c r="A9" s="207"/>
      <c r="B9" s="74" t="s">
        <v>103</v>
      </c>
      <c r="C9" s="209">
        <v>0</v>
      </c>
      <c r="D9" s="209">
        <v>2579</v>
      </c>
    </row>
    <row r="10" spans="1:4" s="215" customFormat="1" ht="21.75" customHeight="1">
      <c r="A10" s="305" t="s">
        <v>342</v>
      </c>
      <c r="B10" s="306"/>
      <c r="C10" s="214">
        <f>C4</f>
        <v>110916</v>
      </c>
      <c r="D10" s="214">
        <f>D4</f>
        <v>100317</v>
      </c>
    </row>
    <row r="11" spans="1:4" ht="27" customHeight="1">
      <c r="A11" s="298" t="s">
        <v>13</v>
      </c>
      <c r="B11" s="299"/>
      <c r="C11" s="299"/>
      <c r="D11" s="304"/>
    </row>
    <row r="12" spans="1:4" ht="21.75" customHeight="1">
      <c r="A12" s="176">
        <v>926</v>
      </c>
      <c r="B12" s="74" t="s">
        <v>10</v>
      </c>
      <c r="C12" s="209">
        <f>C13+C18</f>
        <v>768199</v>
      </c>
      <c r="D12" s="209">
        <f>D13+D18</f>
        <v>738965</v>
      </c>
    </row>
    <row r="13" spans="1:4" s="80" customFormat="1" ht="21.75" customHeight="1">
      <c r="A13" s="186">
        <v>92604</v>
      </c>
      <c r="B13" s="163" t="s">
        <v>57</v>
      </c>
      <c r="C13" s="210">
        <f>C14</f>
        <v>698199</v>
      </c>
      <c r="D13" s="210">
        <f>D14</f>
        <v>668965</v>
      </c>
    </row>
    <row r="14" spans="1:4" ht="21.75" customHeight="1">
      <c r="A14" s="176"/>
      <c r="B14" s="74" t="s">
        <v>326</v>
      </c>
      <c r="C14" s="209">
        <f>7046+211495+10307+39055+5421+57462+208274+124000+1500+3320+8319+22000</f>
        <v>698199</v>
      </c>
      <c r="D14" s="209">
        <f>6049+211494+10307+38355+5302+57089+183547+122241+1500+3081+8310+21687+3</f>
        <v>668965</v>
      </c>
    </row>
    <row r="15" spans="1:4" ht="21.75" customHeight="1">
      <c r="A15" s="74"/>
      <c r="B15" s="211" t="s">
        <v>328</v>
      </c>
      <c r="C15" s="209">
        <v>211495</v>
      </c>
      <c r="D15" s="209">
        <v>211494</v>
      </c>
    </row>
    <row r="16" spans="1:4" ht="21.75" customHeight="1">
      <c r="A16" s="177"/>
      <c r="B16" s="185" t="s">
        <v>335</v>
      </c>
      <c r="C16" s="208">
        <f>10307+39055+5421</f>
        <v>54783</v>
      </c>
      <c r="D16" s="208">
        <f>10307+38355+5302</f>
        <v>53964</v>
      </c>
    </row>
    <row r="17" spans="1:4" ht="21.75" customHeight="1">
      <c r="A17" s="177"/>
      <c r="B17" s="185" t="s">
        <v>336</v>
      </c>
      <c r="C17" s="208">
        <f>7046+57462+208274+124000+1500+3320+8319+22000</f>
        <v>431921</v>
      </c>
      <c r="D17" s="208">
        <f>6049+57089+183547+122241+1500+3081+8310+21687+3</f>
        <v>403507</v>
      </c>
    </row>
    <row r="18" spans="1:4" s="80" customFormat="1" ht="21.75" customHeight="1">
      <c r="A18" s="161">
        <v>92695</v>
      </c>
      <c r="B18" s="162" t="s">
        <v>197</v>
      </c>
      <c r="C18" s="125">
        <f>C19</f>
        <v>70000</v>
      </c>
      <c r="D18" s="125">
        <f>D19</f>
        <v>70000</v>
      </c>
    </row>
    <row r="19" spans="1:4" ht="21.75" customHeight="1">
      <c r="A19" s="177"/>
      <c r="B19" s="178" t="s">
        <v>341</v>
      </c>
      <c r="C19" s="208">
        <v>70000</v>
      </c>
      <c r="D19" s="208">
        <v>70000</v>
      </c>
    </row>
    <row r="20" spans="1:4" s="129" customFormat="1" ht="21.75" customHeight="1">
      <c r="A20" s="279" t="s">
        <v>343</v>
      </c>
      <c r="B20" s="280"/>
      <c r="C20" s="172">
        <f>C12</f>
        <v>768199</v>
      </c>
      <c r="D20" s="172">
        <f>D12</f>
        <v>738965</v>
      </c>
    </row>
  </sheetData>
  <mergeCells count="5">
    <mergeCell ref="A20:B20"/>
    <mergeCell ref="A1:E1"/>
    <mergeCell ref="A3:D3"/>
    <mergeCell ref="A11:D11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="90" zoomScaleNormal="90" workbookViewId="0" topLeftCell="A145">
      <selection activeCell="F161" sqref="F161"/>
    </sheetView>
  </sheetViews>
  <sheetFormatPr defaultColWidth="9.00390625" defaultRowHeight="12.75"/>
  <cols>
    <col min="1" max="1" width="9.375" style="71" customWidth="1"/>
    <col min="2" max="2" width="42.625" style="71" customWidth="1"/>
    <col min="3" max="3" width="10.625" style="71" customWidth="1"/>
    <col min="4" max="4" width="9.875" style="71" customWidth="1"/>
    <col min="5" max="5" width="11.125" style="71" customWidth="1"/>
    <col min="6" max="6" width="9.00390625" style="71" customWidth="1"/>
    <col min="7" max="7" width="8.00390625" style="71" customWidth="1"/>
  </cols>
  <sheetData>
    <row r="1" spans="1:7" ht="12.75">
      <c r="A1" s="271" t="s">
        <v>392</v>
      </c>
      <c r="B1" s="271"/>
      <c r="C1" s="271"/>
      <c r="D1" s="271"/>
      <c r="E1" s="271"/>
      <c r="F1" s="271"/>
      <c r="G1" s="271"/>
    </row>
    <row r="2" spans="1:7" ht="25.5" customHeight="1">
      <c r="A2" s="392" t="s">
        <v>402</v>
      </c>
      <c r="B2" s="392"/>
      <c r="C2" s="392"/>
      <c r="D2" s="392"/>
      <c r="E2" s="392"/>
      <c r="F2" s="392"/>
      <c r="G2" s="392"/>
    </row>
    <row r="3" spans="1:8" ht="23.25" customHeight="1">
      <c r="A3" s="393" t="s">
        <v>59</v>
      </c>
      <c r="B3" s="394" t="s">
        <v>0</v>
      </c>
      <c r="C3" s="393" t="s">
        <v>167</v>
      </c>
      <c r="D3" s="393" t="s">
        <v>255</v>
      </c>
      <c r="E3" s="395" t="s">
        <v>163</v>
      </c>
      <c r="F3" s="396" t="s">
        <v>164</v>
      </c>
      <c r="G3" s="397"/>
      <c r="H3" s="30"/>
    </row>
    <row r="4" spans="1:8" ht="21" customHeight="1">
      <c r="A4" s="398"/>
      <c r="B4" s="399"/>
      <c r="C4" s="398"/>
      <c r="D4" s="398"/>
      <c r="E4" s="400"/>
      <c r="F4" s="401" t="s">
        <v>11</v>
      </c>
      <c r="G4" s="401" t="s">
        <v>166</v>
      </c>
      <c r="H4" s="30"/>
    </row>
    <row r="5" spans="1:8" ht="18" customHeight="1">
      <c r="A5" s="402" t="s">
        <v>60</v>
      </c>
      <c r="B5" s="403" t="s">
        <v>256</v>
      </c>
      <c r="C5" s="404">
        <f>C6+C8</f>
        <v>7000</v>
      </c>
      <c r="D5" s="85" t="s">
        <v>257</v>
      </c>
      <c r="E5" s="405">
        <f>E6+E8</f>
        <v>7000</v>
      </c>
      <c r="F5" s="405">
        <f>F6+F8</f>
        <v>6301</v>
      </c>
      <c r="G5" s="406">
        <f aca="true" t="shared" si="0" ref="G5:G18">F5*100/E5</f>
        <v>90.01428571428572</v>
      </c>
      <c r="H5" s="30"/>
    </row>
    <row r="6" spans="1:8" s="24" customFormat="1" ht="18" customHeight="1">
      <c r="A6" s="407" t="s">
        <v>61</v>
      </c>
      <c r="B6" s="36" t="s">
        <v>22</v>
      </c>
      <c r="C6" s="408">
        <f>C7</f>
        <v>3500</v>
      </c>
      <c r="D6" s="87" t="s">
        <v>257</v>
      </c>
      <c r="E6" s="37">
        <f>E7</f>
        <v>3500</v>
      </c>
      <c r="F6" s="37">
        <f>F7</f>
        <v>3235</v>
      </c>
      <c r="G6" s="409">
        <f t="shared" si="0"/>
        <v>92.42857142857143</v>
      </c>
      <c r="H6" s="80"/>
    </row>
    <row r="7" spans="1:8" ht="18" customHeight="1">
      <c r="A7" s="410"/>
      <c r="B7" s="411" t="s">
        <v>16</v>
      </c>
      <c r="C7" s="404">
        <v>3500</v>
      </c>
      <c r="D7" s="85" t="s">
        <v>257</v>
      </c>
      <c r="E7" s="38">
        <v>3500</v>
      </c>
      <c r="F7" s="38">
        <v>3235</v>
      </c>
      <c r="G7" s="412">
        <f t="shared" si="0"/>
        <v>92.42857142857143</v>
      </c>
      <c r="H7" s="30"/>
    </row>
    <row r="8" spans="1:8" ht="18" customHeight="1">
      <c r="A8" s="407" t="s">
        <v>62</v>
      </c>
      <c r="B8" s="36" t="s">
        <v>23</v>
      </c>
      <c r="C8" s="408">
        <f>C9</f>
        <v>3500</v>
      </c>
      <c r="D8" s="87" t="str">
        <f>D9</f>
        <v>0</v>
      </c>
      <c r="E8" s="37">
        <f>E9</f>
        <v>3500</v>
      </c>
      <c r="F8" s="37">
        <f>F9</f>
        <v>3066</v>
      </c>
      <c r="G8" s="412">
        <f t="shared" si="0"/>
        <v>87.6</v>
      </c>
      <c r="H8" s="30"/>
    </row>
    <row r="9" spans="1:8" ht="18" customHeight="1">
      <c r="A9" s="410"/>
      <c r="B9" s="411" t="s">
        <v>16</v>
      </c>
      <c r="C9" s="404">
        <f>500+3000</f>
        <v>3500</v>
      </c>
      <c r="D9" s="85" t="s">
        <v>257</v>
      </c>
      <c r="E9" s="39">
        <f>500+3000</f>
        <v>3500</v>
      </c>
      <c r="F9" s="39">
        <f>12+3054</f>
        <v>3066</v>
      </c>
      <c r="G9" s="413">
        <f t="shared" si="0"/>
        <v>87.6</v>
      </c>
      <c r="H9" s="30"/>
    </row>
    <row r="10" spans="1:8" ht="41.25" customHeight="1">
      <c r="A10" s="414" t="s">
        <v>147</v>
      </c>
      <c r="B10" s="403" t="s">
        <v>122</v>
      </c>
      <c r="C10" s="415">
        <f aca="true" t="shared" si="1" ref="C10:F11">C11</f>
        <v>629364</v>
      </c>
      <c r="D10" s="416">
        <f t="shared" si="1"/>
        <v>3402061</v>
      </c>
      <c r="E10" s="405">
        <f t="shared" si="1"/>
        <v>4031425</v>
      </c>
      <c r="F10" s="405">
        <f t="shared" si="1"/>
        <v>3156905</v>
      </c>
      <c r="G10" s="406">
        <f t="shared" si="0"/>
        <v>78.30742231344996</v>
      </c>
      <c r="H10" s="30"/>
    </row>
    <row r="11" spans="1:8" s="24" customFormat="1" ht="18" customHeight="1">
      <c r="A11" s="417" t="s">
        <v>148</v>
      </c>
      <c r="B11" s="36" t="s">
        <v>149</v>
      </c>
      <c r="C11" s="408">
        <f t="shared" si="1"/>
        <v>629364</v>
      </c>
      <c r="D11" s="87">
        <f t="shared" si="1"/>
        <v>3402061</v>
      </c>
      <c r="E11" s="37">
        <f t="shared" si="1"/>
        <v>4031425</v>
      </c>
      <c r="F11" s="37">
        <f t="shared" si="1"/>
        <v>3156905</v>
      </c>
      <c r="G11" s="409">
        <f t="shared" si="0"/>
        <v>78.30742231344996</v>
      </c>
      <c r="H11" s="80"/>
    </row>
    <row r="12" spans="1:8" ht="18.75" customHeight="1">
      <c r="A12" s="418"/>
      <c r="B12" s="419" t="s">
        <v>63</v>
      </c>
      <c r="C12" s="420">
        <v>629364</v>
      </c>
      <c r="D12" s="421">
        <v>3402061</v>
      </c>
      <c r="E12" s="39">
        <f>461639+2677338+892448</f>
        <v>4031425</v>
      </c>
      <c r="F12" s="39">
        <f>56512+2325295+775098</f>
        <v>3156905</v>
      </c>
      <c r="G12" s="413">
        <f t="shared" si="0"/>
        <v>78.30742231344996</v>
      </c>
      <c r="H12" s="30"/>
    </row>
    <row r="13" spans="1:8" ht="26.25" customHeight="1">
      <c r="A13" s="422">
        <v>600</v>
      </c>
      <c r="B13" s="411" t="s">
        <v>24</v>
      </c>
      <c r="C13" s="404">
        <f>C14+C17</f>
        <v>488130</v>
      </c>
      <c r="D13" s="85">
        <f>D14+D17</f>
        <v>795312</v>
      </c>
      <c r="E13" s="405">
        <f>E14+E17</f>
        <v>1283442</v>
      </c>
      <c r="F13" s="405">
        <f>F14+F17</f>
        <v>1279878</v>
      </c>
      <c r="G13" s="406">
        <f t="shared" si="0"/>
        <v>99.722309227842</v>
      </c>
      <c r="H13" s="30"/>
    </row>
    <row r="14" spans="1:8" s="24" customFormat="1" ht="18" customHeight="1">
      <c r="A14" s="417">
        <v>60016</v>
      </c>
      <c r="B14" s="36" t="s">
        <v>25</v>
      </c>
      <c r="C14" s="408">
        <f>C15+C16</f>
        <v>474130</v>
      </c>
      <c r="D14" s="87">
        <f>D15+D16</f>
        <v>808712</v>
      </c>
      <c r="E14" s="37">
        <f>E15+E16</f>
        <v>1282842</v>
      </c>
      <c r="F14" s="37">
        <f>F15+F16</f>
        <v>1279857</v>
      </c>
      <c r="G14" s="409">
        <f t="shared" si="0"/>
        <v>99.76731351171851</v>
      </c>
      <c r="H14" s="80"/>
    </row>
    <row r="15" spans="1:8" ht="18" customHeight="1">
      <c r="A15" s="422"/>
      <c r="B15" s="411" t="s">
        <v>16</v>
      </c>
      <c r="C15" s="404">
        <f>323680+5000+15450</f>
        <v>344130</v>
      </c>
      <c r="D15" s="85">
        <v>832072</v>
      </c>
      <c r="E15" s="38">
        <f>2300+8520+1145132+9150+11100</f>
        <v>1176202</v>
      </c>
      <c r="F15" s="38">
        <f>2100+8517+1144703+9225+11013</f>
        <v>1175558</v>
      </c>
      <c r="G15" s="412">
        <f t="shared" si="0"/>
        <v>99.94524750000426</v>
      </c>
      <c r="H15" s="30"/>
    </row>
    <row r="16" spans="1:8" ht="18" customHeight="1">
      <c r="A16" s="422"/>
      <c r="B16" s="411" t="s">
        <v>63</v>
      </c>
      <c r="C16" s="404">
        <v>130000</v>
      </c>
      <c r="D16" s="85">
        <v>-23360</v>
      </c>
      <c r="E16" s="38">
        <v>106640</v>
      </c>
      <c r="F16" s="38">
        <v>104299</v>
      </c>
      <c r="G16" s="412">
        <f t="shared" si="0"/>
        <v>97.80476369092273</v>
      </c>
      <c r="H16" s="30"/>
    </row>
    <row r="17" spans="1:8" s="24" customFormat="1" ht="18" customHeight="1">
      <c r="A17" s="417">
        <v>60095</v>
      </c>
      <c r="B17" s="36" t="s">
        <v>23</v>
      </c>
      <c r="C17" s="408">
        <f>C18+C19</f>
        <v>14000</v>
      </c>
      <c r="D17" s="87">
        <f>D18+D19</f>
        <v>-13400</v>
      </c>
      <c r="E17" s="37">
        <f>E18+E19</f>
        <v>600</v>
      </c>
      <c r="F17" s="37">
        <f>F18+F19</f>
        <v>21</v>
      </c>
      <c r="G17" s="409">
        <f t="shared" si="0"/>
        <v>3.5</v>
      </c>
      <c r="H17" s="80"/>
    </row>
    <row r="18" spans="1:8" ht="18" customHeight="1">
      <c r="A18" s="417"/>
      <c r="B18" s="411" t="s">
        <v>16</v>
      </c>
      <c r="C18" s="404">
        <v>4000</v>
      </c>
      <c r="D18" s="85">
        <v>-3400</v>
      </c>
      <c r="E18" s="38">
        <v>600</v>
      </c>
      <c r="F18" s="38">
        <v>21</v>
      </c>
      <c r="G18" s="412">
        <f t="shared" si="0"/>
        <v>3.5</v>
      </c>
      <c r="H18" s="30"/>
    </row>
    <row r="19" spans="1:8" ht="18" customHeight="1">
      <c r="A19" s="422"/>
      <c r="B19" s="411" t="s">
        <v>63</v>
      </c>
      <c r="C19" s="420">
        <v>10000</v>
      </c>
      <c r="D19" s="421">
        <v>-10000</v>
      </c>
      <c r="E19" s="39">
        <v>0</v>
      </c>
      <c r="F19" s="39">
        <v>0</v>
      </c>
      <c r="G19" s="413">
        <v>0</v>
      </c>
      <c r="H19" s="30"/>
    </row>
    <row r="20" spans="1:8" ht="24" customHeight="1">
      <c r="A20" s="402">
        <v>700</v>
      </c>
      <c r="B20" s="403" t="s">
        <v>1</v>
      </c>
      <c r="C20" s="415">
        <f>C21</f>
        <v>994700</v>
      </c>
      <c r="D20" s="416">
        <f>D21</f>
        <v>138100</v>
      </c>
      <c r="E20" s="405">
        <f>E21</f>
        <v>1132800</v>
      </c>
      <c r="F20" s="405">
        <f>F21</f>
        <v>1085152</v>
      </c>
      <c r="G20" s="406">
        <f aca="true" t="shared" si="2" ref="G20:G65">F20*100/E20</f>
        <v>95.79378531073446</v>
      </c>
      <c r="H20" s="30"/>
    </row>
    <row r="21" spans="1:8" s="24" customFormat="1" ht="18" customHeight="1">
      <c r="A21" s="407">
        <v>70005</v>
      </c>
      <c r="B21" s="36" t="s">
        <v>26</v>
      </c>
      <c r="C21" s="408">
        <f>C22+C23</f>
        <v>994700</v>
      </c>
      <c r="D21" s="87">
        <f>D22+D23</f>
        <v>138100</v>
      </c>
      <c r="E21" s="37">
        <f>E22+E23</f>
        <v>1132800</v>
      </c>
      <c r="F21" s="37">
        <f>F22+F23</f>
        <v>1085152</v>
      </c>
      <c r="G21" s="409">
        <f t="shared" si="2"/>
        <v>95.79378531073446</v>
      </c>
      <c r="H21" s="80"/>
    </row>
    <row r="22" spans="1:8" ht="18" customHeight="1">
      <c r="A22" s="410"/>
      <c r="B22" s="411" t="s">
        <v>16</v>
      </c>
      <c r="C22" s="404">
        <f>65000+88700+200000+266000+5000+290000</f>
        <v>914700</v>
      </c>
      <c r="D22" s="85">
        <v>69900</v>
      </c>
      <c r="E22" s="38">
        <f>87800+106700+258430+240670+5000+285000+1000</f>
        <v>984600</v>
      </c>
      <c r="F22" s="38">
        <f>86972+105184+252855+239385+2498+249393+682</f>
        <v>936969</v>
      </c>
      <c r="G22" s="412">
        <f t="shared" si="2"/>
        <v>95.16240097501523</v>
      </c>
      <c r="H22" s="30"/>
    </row>
    <row r="23" spans="1:8" ht="18" customHeight="1">
      <c r="A23" s="423"/>
      <c r="B23" s="419" t="s">
        <v>63</v>
      </c>
      <c r="C23" s="420">
        <v>80000</v>
      </c>
      <c r="D23" s="421">
        <v>68200</v>
      </c>
      <c r="E23" s="39">
        <v>148200</v>
      </c>
      <c r="F23" s="39">
        <v>148183</v>
      </c>
      <c r="G23" s="413">
        <f t="shared" si="2"/>
        <v>99.9885290148448</v>
      </c>
      <c r="H23" s="30"/>
    </row>
    <row r="24" spans="1:8" ht="18" customHeight="1">
      <c r="A24" s="402">
        <v>710</v>
      </c>
      <c r="B24" s="403" t="s">
        <v>27</v>
      </c>
      <c r="C24" s="415">
        <f>C25+C27</f>
        <v>115000</v>
      </c>
      <c r="D24" s="416">
        <f>D25+D27</f>
        <v>8000</v>
      </c>
      <c r="E24" s="405">
        <f>E25+E27</f>
        <v>123000</v>
      </c>
      <c r="F24" s="405">
        <f>F25+F27</f>
        <v>104380</v>
      </c>
      <c r="G24" s="406">
        <f t="shared" si="2"/>
        <v>84.86178861788618</v>
      </c>
      <c r="H24" s="30"/>
    </row>
    <row r="25" spans="1:8" s="24" customFormat="1" ht="19.5" customHeight="1">
      <c r="A25" s="407">
        <v>71004</v>
      </c>
      <c r="B25" s="36" t="s">
        <v>28</v>
      </c>
      <c r="C25" s="408">
        <f>C26</f>
        <v>30000</v>
      </c>
      <c r="D25" s="87">
        <f>D26</f>
        <v>0</v>
      </c>
      <c r="E25" s="37">
        <f>E26</f>
        <v>30000</v>
      </c>
      <c r="F25" s="37">
        <f>F26</f>
        <v>15624</v>
      </c>
      <c r="G25" s="409">
        <f t="shared" si="2"/>
        <v>52.08</v>
      </c>
      <c r="H25" s="80"/>
    </row>
    <row r="26" spans="1:8" ht="18" customHeight="1">
      <c r="A26" s="410"/>
      <c r="B26" s="411" t="s">
        <v>16</v>
      </c>
      <c r="C26" s="404">
        <v>30000</v>
      </c>
      <c r="D26" s="85">
        <v>0</v>
      </c>
      <c r="E26" s="38">
        <f>8000+22000</f>
        <v>30000</v>
      </c>
      <c r="F26" s="38">
        <f>6320+9304</f>
        <v>15624</v>
      </c>
      <c r="G26" s="412">
        <f t="shared" si="2"/>
        <v>52.08</v>
      </c>
      <c r="H26" s="30"/>
    </row>
    <row r="27" spans="1:8" s="24" customFormat="1" ht="18" customHeight="1">
      <c r="A27" s="407">
        <v>71035</v>
      </c>
      <c r="B27" s="36" t="s">
        <v>29</v>
      </c>
      <c r="C27" s="408">
        <f>C28</f>
        <v>85000</v>
      </c>
      <c r="D27" s="87">
        <f>D28</f>
        <v>8000</v>
      </c>
      <c r="E27" s="37">
        <f>E28</f>
        <v>93000</v>
      </c>
      <c r="F27" s="37">
        <f>F28</f>
        <v>88756</v>
      </c>
      <c r="G27" s="409">
        <f t="shared" si="2"/>
        <v>95.43655913978495</v>
      </c>
      <c r="H27" s="80"/>
    </row>
    <row r="28" spans="1:8" ht="18" customHeight="1">
      <c r="A28" s="410"/>
      <c r="B28" s="411" t="s">
        <v>16</v>
      </c>
      <c r="C28" s="404">
        <f>4000+1000+10000+70000</f>
        <v>85000</v>
      </c>
      <c r="D28" s="85">
        <v>8000</v>
      </c>
      <c r="E28" s="39">
        <f>4000+1000+19300+68700</f>
        <v>93000</v>
      </c>
      <c r="F28" s="39">
        <f>1000+19300+68456</f>
        <v>88756</v>
      </c>
      <c r="G28" s="413">
        <f t="shared" si="2"/>
        <v>95.43655913978495</v>
      </c>
      <c r="H28" s="30"/>
    </row>
    <row r="29" spans="1:8" ht="18.75" customHeight="1">
      <c r="A29" s="402">
        <v>750</v>
      </c>
      <c r="B29" s="403" t="s">
        <v>2</v>
      </c>
      <c r="C29" s="415">
        <f>C30+C33+C35+C39</f>
        <v>3637063</v>
      </c>
      <c r="D29" s="416">
        <f>D30+D33+D35+D39</f>
        <v>4000</v>
      </c>
      <c r="E29" s="405">
        <f>E30+E33+E35+E39</f>
        <v>3641063</v>
      </c>
      <c r="F29" s="405">
        <f>F30+F33+F35+F39</f>
        <v>3576420</v>
      </c>
      <c r="G29" s="406">
        <f t="shared" si="2"/>
        <v>98.22461187845418</v>
      </c>
      <c r="H29" s="30"/>
    </row>
    <row r="30" spans="1:8" s="24" customFormat="1" ht="18" customHeight="1">
      <c r="A30" s="407">
        <v>75011</v>
      </c>
      <c r="B30" s="36" t="s">
        <v>30</v>
      </c>
      <c r="C30" s="408">
        <f>C31</f>
        <v>156102</v>
      </c>
      <c r="D30" s="87">
        <f>D31</f>
        <v>36160</v>
      </c>
      <c r="E30" s="37">
        <f>E31</f>
        <v>192262</v>
      </c>
      <c r="F30" s="37">
        <f>F31</f>
        <v>185390</v>
      </c>
      <c r="G30" s="409">
        <f t="shared" si="2"/>
        <v>96.42571074887394</v>
      </c>
      <c r="H30" s="80"/>
    </row>
    <row r="31" spans="1:8" ht="15" customHeight="1">
      <c r="A31" s="410"/>
      <c r="B31" s="411" t="s">
        <v>14</v>
      </c>
      <c r="C31" s="404">
        <f>83332+7000+15600+2210+7000+13000+24000+1800+2160</f>
        <v>156102</v>
      </c>
      <c r="D31" s="85">
        <v>36160</v>
      </c>
      <c r="E31" s="38">
        <f>115975+8517+22600+3210+7000+13000+19000+800+2160</f>
        <v>192262</v>
      </c>
      <c r="F31" s="38">
        <f>115975+8516+22600+3210+6204+8150+17775+800+2160</f>
        <v>185390</v>
      </c>
      <c r="G31" s="412">
        <f t="shared" si="2"/>
        <v>96.42571074887394</v>
      </c>
      <c r="H31" s="30"/>
    </row>
    <row r="32" spans="1:8" ht="18.75" customHeight="1">
      <c r="A32" s="410"/>
      <c r="B32" s="411" t="s">
        <v>15</v>
      </c>
      <c r="C32" s="404">
        <f>83332+7000+15600+2210</f>
        <v>108142</v>
      </c>
      <c r="D32" s="85">
        <v>42160</v>
      </c>
      <c r="E32" s="38">
        <f>115975+8517+22600+3210</f>
        <v>150302</v>
      </c>
      <c r="F32" s="38">
        <f>115975+8516+22600+3210</f>
        <v>150301</v>
      </c>
      <c r="G32" s="412">
        <f t="shared" si="2"/>
        <v>99.99933467285865</v>
      </c>
      <c r="H32" s="30"/>
    </row>
    <row r="33" spans="1:8" s="24" customFormat="1" ht="18" customHeight="1">
      <c r="A33" s="407">
        <v>75022</v>
      </c>
      <c r="B33" s="36" t="s">
        <v>31</v>
      </c>
      <c r="C33" s="408">
        <f>C34</f>
        <v>179764</v>
      </c>
      <c r="D33" s="87">
        <f>D34</f>
        <v>-7300</v>
      </c>
      <c r="E33" s="37">
        <f>E34</f>
        <v>172464</v>
      </c>
      <c r="F33" s="37">
        <f>F34</f>
        <v>147182</v>
      </c>
      <c r="G33" s="409">
        <f t="shared" si="2"/>
        <v>85.34070878560163</v>
      </c>
      <c r="H33" s="80"/>
    </row>
    <row r="34" spans="1:8" ht="18" customHeight="1">
      <c r="A34" s="410"/>
      <c r="B34" s="411" t="s">
        <v>16</v>
      </c>
      <c r="C34" s="404">
        <f>160764+10000+5000+2000+2000</f>
        <v>179764</v>
      </c>
      <c r="D34" s="85">
        <v>-7300</v>
      </c>
      <c r="E34" s="38">
        <f>160764+8000+2500+200+1000</f>
        <v>172464</v>
      </c>
      <c r="F34" s="38">
        <f>139886+5682+865+15+734</f>
        <v>147182</v>
      </c>
      <c r="G34" s="412">
        <f t="shared" si="2"/>
        <v>85.34070878560163</v>
      </c>
      <c r="H34" s="30"/>
    </row>
    <row r="35" spans="1:8" s="24" customFormat="1" ht="18" customHeight="1">
      <c r="A35" s="407">
        <v>75023</v>
      </c>
      <c r="B35" s="36" t="s">
        <v>32</v>
      </c>
      <c r="C35" s="408">
        <f>C36+C38</f>
        <v>3242697</v>
      </c>
      <c r="D35" s="87">
        <f>D36+D38</f>
        <v>-20560</v>
      </c>
      <c r="E35" s="37">
        <f>E36+E38</f>
        <v>3222137</v>
      </c>
      <c r="F35" s="37">
        <f>F36+F38</f>
        <v>3192779</v>
      </c>
      <c r="G35" s="409">
        <f t="shared" si="2"/>
        <v>99.08886555723733</v>
      </c>
      <c r="H35" s="80"/>
    </row>
    <row r="36" spans="1:8" ht="18" customHeight="1">
      <c r="A36" s="410"/>
      <c r="B36" s="411" t="s">
        <v>14</v>
      </c>
      <c r="C36" s="404">
        <f>20000+1958118+156905+364425+51819+23000+79600+121000+61800+45000+174000+4000+6000+43310+54720+55000+4000</f>
        <v>3222697</v>
      </c>
      <c r="D36" s="85">
        <v>-29360</v>
      </c>
      <c r="E36" s="38">
        <f>28000+1929148+136505+333600+50819+37650+83600+140950+40525+49000+202000+4000+6000+44110+64180+36150+7000+100</f>
        <v>3193337</v>
      </c>
      <c r="F36" s="38">
        <f>26149+1926349+136461+333895+49604+36522+78281+136310+36499+49002+195361+2835+5552+44049+64180+36142+6733+100</f>
        <v>3164024</v>
      </c>
      <c r="G36" s="412">
        <f t="shared" si="2"/>
        <v>99.0820574214372</v>
      </c>
      <c r="H36" s="30"/>
    </row>
    <row r="37" spans="1:8" ht="15" customHeight="1">
      <c r="A37" s="410"/>
      <c r="B37" s="411" t="s">
        <v>15</v>
      </c>
      <c r="C37" s="404">
        <f>1958118+156905+364425+51819+79600</f>
        <v>2610867</v>
      </c>
      <c r="D37" s="85">
        <v>-77195</v>
      </c>
      <c r="E37" s="38">
        <f>1929148+136505+333600+50819+83600</f>
        <v>2533672</v>
      </c>
      <c r="F37" s="38">
        <f>1926349+136461+333895+49604+78281</f>
        <v>2524590</v>
      </c>
      <c r="G37" s="412">
        <f t="shared" si="2"/>
        <v>99.64154791938341</v>
      </c>
      <c r="H37" s="30"/>
    </row>
    <row r="38" spans="1:8" ht="18" customHeight="1">
      <c r="A38" s="410"/>
      <c r="B38" s="411" t="s">
        <v>63</v>
      </c>
      <c r="C38" s="404">
        <v>20000</v>
      </c>
      <c r="D38" s="85">
        <v>8800</v>
      </c>
      <c r="E38" s="38">
        <v>28800</v>
      </c>
      <c r="F38" s="38">
        <v>28755</v>
      </c>
      <c r="G38" s="412">
        <f t="shared" si="2"/>
        <v>99.84375</v>
      </c>
      <c r="H38" s="30"/>
    </row>
    <row r="39" spans="1:8" s="24" customFormat="1" ht="18" customHeight="1">
      <c r="A39" s="407">
        <v>75095</v>
      </c>
      <c r="B39" s="36" t="s">
        <v>23</v>
      </c>
      <c r="C39" s="408">
        <f>C40</f>
        <v>58500</v>
      </c>
      <c r="D39" s="87">
        <f>D40</f>
        <v>-4300</v>
      </c>
      <c r="E39" s="37">
        <f>E40</f>
        <v>54200</v>
      </c>
      <c r="F39" s="37">
        <f>F40</f>
        <v>51069</v>
      </c>
      <c r="G39" s="409">
        <f t="shared" si="2"/>
        <v>94.22324723247233</v>
      </c>
      <c r="H39" s="80"/>
    </row>
    <row r="40" spans="1:8" ht="15" customHeight="1">
      <c r="A40" s="423"/>
      <c r="B40" s="419" t="s">
        <v>16</v>
      </c>
      <c r="C40" s="420">
        <f>1500+15000+32000+10000</f>
        <v>58500</v>
      </c>
      <c r="D40" s="421">
        <v>-4300</v>
      </c>
      <c r="E40" s="39">
        <f>2245+9955+32000+10000</f>
        <v>54200</v>
      </c>
      <c r="F40" s="39">
        <f>2245+7394+32049+9381</f>
        <v>51069</v>
      </c>
      <c r="G40" s="413">
        <f t="shared" si="2"/>
        <v>94.22324723247233</v>
      </c>
      <c r="H40" s="30"/>
    </row>
    <row r="41" spans="1:8" ht="44.25" customHeight="1">
      <c r="A41" s="402">
        <v>751</v>
      </c>
      <c r="B41" s="403" t="s">
        <v>3</v>
      </c>
      <c r="C41" s="424">
        <f>C42+C44+C46</f>
        <v>2849</v>
      </c>
      <c r="D41" s="405">
        <f>D42+D44+D46</f>
        <v>74440</v>
      </c>
      <c r="E41" s="405">
        <f>E42+E44+E46</f>
        <v>77289</v>
      </c>
      <c r="F41" s="405">
        <f>F42+F44+F46</f>
        <v>76484</v>
      </c>
      <c r="G41" s="425">
        <f t="shared" si="2"/>
        <v>98.95845463131882</v>
      </c>
      <c r="H41" s="30"/>
    </row>
    <row r="42" spans="1:8" ht="25.5" customHeight="1">
      <c r="A42" s="407">
        <v>75101</v>
      </c>
      <c r="B42" s="36" t="s">
        <v>4</v>
      </c>
      <c r="C42" s="426">
        <f>C43</f>
        <v>2849</v>
      </c>
      <c r="D42" s="37">
        <f>D43</f>
        <v>0</v>
      </c>
      <c r="E42" s="37">
        <f>E43</f>
        <v>2849</v>
      </c>
      <c r="F42" s="37">
        <f>F43</f>
        <v>2849</v>
      </c>
      <c r="G42" s="427">
        <f t="shared" si="2"/>
        <v>100</v>
      </c>
      <c r="H42" s="30"/>
    </row>
    <row r="43" spans="1:8" ht="15" customHeight="1">
      <c r="A43" s="407"/>
      <c r="B43" s="411" t="s">
        <v>16</v>
      </c>
      <c r="C43" s="428">
        <f>1500+1349</f>
        <v>2849</v>
      </c>
      <c r="D43" s="38">
        <v>0</v>
      </c>
      <c r="E43" s="38">
        <f>1500+1349</f>
        <v>2849</v>
      </c>
      <c r="F43" s="38">
        <f>1500+1349</f>
        <v>2849</v>
      </c>
      <c r="G43" s="429">
        <f t="shared" si="2"/>
        <v>100</v>
      </c>
      <c r="H43" s="30"/>
    </row>
    <row r="44" spans="1:7" s="80" customFormat="1" ht="15.75" customHeight="1">
      <c r="A44" s="407" t="s">
        <v>258</v>
      </c>
      <c r="B44" s="36" t="s">
        <v>313</v>
      </c>
      <c r="C44" s="37">
        <f>C45</f>
        <v>0</v>
      </c>
      <c r="D44" s="37">
        <f>D45</f>
        <v>45460</v>
      </c>
      <c r="E44" s="37">
        <f>E45</f>
        <v>45460</v>
      </c>
      <c r="F44" s="37">
        <f>F45</f>
        <v>45060</v>
      </c>
      <c r="G44" s="430">
        <f t="shared" si="2"/>
        <v>99.12010558732952</v>
      </c>
    </row>
    <row r="45" spans="1:7" s="30" customFormat="1" ht="14.25" customHeight="1">
      <c r="A45" s="410"/>
      <c r="B45" s="411" t="s">
        <v>16</v>
      </c>
      <c r="C45" s="38">
        <v>0</v>
      </c>
      <c r="D45" s="38">
        <v>45460</v>
      </c>
      <c r="E45" s="38">
        <f>27720+2280+310+12500+2150+500</f>
        <v>45460</v>
      </c>
      <c r="F45" s="38">
        <f>27450+2154+306+12500+2150+500</f>
        <v>45060</v>
      </c>
      <c r="G45" s="431">
        <f t="shared" si="2"/>
        <v>99.12010558732952</v>
      </c>
    </row>
    <row r="46" spans="1:7" s="80" customFormat="1" ht="17.25" customHeight="1">
      <c r="A46" s="407" t="s">
        <v>259</v>
      </c>
      <c r="B46" s="36" t="s">
        <v>260</v>
      </c>
      <c r="C46" s="37">
        <f>C47</f>
        <v>0</v>
      </c>
      <c r="D46" s="37">
        <f>D47</f>
        <v>28980</v>
      </c>
      <c r="E46" s="37">
        <f>E47</f>
        <v>28980</v>
      </c>
      <c r="F46" s="37">
        <f>F47</f>
        <v>28575</v>
      </c>
      <c r="G46" s="430">
        <f t="shared" si="2"/>
        <v>98.6024844720497</v>
      </c>
    </row>
    <row r="47" spans="1:8" ht="16.5" customHeight="1">
      <c r="A47" s="423"/>
      <c r="B47" s="419" t="s">
        <v>16</v>
      </c>
      <c r="C47" s="39">
        <f>0</f>
        <v>0</v>
      </c>
      <c r="D47" s="39">
        <v>28980</v>
      </c>
      <c r="E47" s="39">
        <f>16830+1015+144+7887+2478+626</f>
        <v>28980</v>
      </c>
      <c r="F47" s="39">
        <f>16425+1015+144+7887+2478+626</f>
        <v>28575</v>
      </c>
      <c r="G47" s="432">
        <f t="shared" si="2"/>
        <v>98.6024844720497</v>
      </c>
      <c r="H47" s="30"/>
    </row>
    <row r="48" spans="1:8" ht="30.75" customHeight="1">
      <c r="A48" s="402">
        <v>754</v>
      </c>
      <c r="B48" s="403" t="s">
        <v>5</v>
      </c>
      <c r="C48" s="405">
        <f>C49+C51+C53+C56</f>
        <v>43000</v>
      </c>
      <c r="D48" s="405">
        <f>D49+D51+D53+D56</f>
        <v>20000</v>
      </c>
      <c r="E48" s="405">
        <f>E49+E51+E53+E56</f>
        <v>63000</v>
      </c>
      <c r="F48" s="405">
        <f>F49+F51+F53+F56</f>
        <v>52984</v>
      </c>
      <c r="G48" s="433">
        <f t="shared" si="2"/>
        <v>84.1015873015873</v>
      </c>
      <c r="H48" s="30"/>
    </row>
    <row r="49" spans="1:8" s="24" customFormat="1" ht="31.5" customHeight="1">
      <c r="A49" s="407" t="s">
        <v>225</v>
      </c>
      <c r="B49" s="36" t="s">
        <v>226</v>
      </c>
      <c r="C49" s="426">
        <f>C50</f>
        <v>0</v>
      </c>
      <c r="D49" s="37">
        <f>D50</f>
        <v>20000</v>
      </c>
      <c r="E49" s="37">
        <f>E50</f>
        <v>20000</v>
      </c>
      <c r="F49" s="37">
        <f>F50</f>
        <v>20000</v>
      </c>
      <c r="G49" s="434">
        <f t="shared" si="2"/>
        <v>100</v>
      </c>
      <c r="H49" s="80"/>
    </row>
    <row r="50" spans="1:8" ht="15" customHeight="1">
      <c r="A50" s="410"/>
      <c r="B50" s="411" t="s">
        <v>21</v>
      </c>
      <c r="C50" s="428">
        <v>0</v>
      </c>
      <c r="D50" s="38">
        <v>20000</v>
      </c>
      <c r="E50" s="38">
        <v>20000</v>
      </c>
      <c r="F50" s="38">
        <v>20000</v>
      </c>
      <c r="G50" s="435">
        <f t="shared" si="2"/>
        <v>100</v>
      </c>
      <c r="H50" s="30"/>
    </row>
    <row r="51" spans="1:8" s="24" customFormat="1" ht="23.25" customHeight="1">
      <c r="A51" s="407">
        <v>75412</v>
      </c>
      <c r="B51" s="36" t="s">
        <v>33</v>
      </c>
      <c r="C51" s="426">
        <f>C52</f>
        <v>11000</v>
      </c>
      <c r="D51" s="37">
        <f>D52</f>
        <v>0</v>
      </c>
      <c r="E51" s="37">
        <f>E52</f>
        <v>11000</v>
      </c>
      <c r="F51" s="37">
        <f>F52</f>
        <v>10999</v>
      </c>
      <c r="G51" s="434">
        <f t="shared" si="2"/>
        <v>99.99090909090908</v>
      </c>
      <c r="H51" s="80"/>
    </row>
    <row r="52" spans="1:8" ht="18" customHeight="1">
      <c r="A52" s="410"/>
      <c r="B52" s="411" t="s">
        <v>16</v>
      </c>
      <c r="C52" s="428">
        <f>9000+2000</f>
        <v>11000</v>
      </c>
      <c r="D52" s="38">
        <v>0</v>
      </c>
      <c r="E52" s="38">
        <f>9528+1472</f>
        <v>11000</v>
      </c>
      <c r="F52" s="38">
        <f>9527+1472</f>
        <v>10999</v>
      </c>
      <c r="G52" s="435">
        <f t="shared" si="2"/>
        <v>99.99090909090908</v>
      </c>
      <c r="H52" s="30"/>
    </row>
    <row r="53" spans="1:8" s="24" customFormat="1" ht="20.25" customHeight="1">
      <c r="A53" s="407">
        <v>75414</v>
      </c>
      <c r="B53" s="36" t="s">
        <v>6</v>
      </c>
      <c r="C53" s="426">
        <f>C54+C55</f>
        <v>22000</v>
      </c>
      <c r="D53" s="37">
        <f>D54+D55</f>
        <v>0</v>
      </c>
      <c r="E53" s="37">
        <f>E54+E55</f>
        <v>22000</v>
      </c>
      <c r="F53" s="37">
        <f>F54+F55</f>
        <v>11984</v>
      </c>
      <c r="G53" s="434">
        <f t="shared" si="2"/>
        <v>54.472727272727276</v>
      </c>
      <c r="H53" s="80"/>
    </row>
    <row r="54" spans="1:8" ht="18" customHeight="1">
      <c r="A54" s="410"/>
      <c r="B54" s="411" t="s">
        <v>16</v>
      </c>
      <c r="C54" s="428">
        <f>5000</f>
        <v>5000</v>
      </c>
      <c r="D54" s="38">
        <v>0</v>
      </c>
      <c r="E54" s="38">
        <f>5000</f>
        <v>5000</v>
      </c>
      <c r="F54" s="38">
        <f>4984</f>
        <v>4984</v>
      </c>
      <c r="G54" s="435">
        <f t="shared" si="2"/>
        <v>99.68</v>
      </c>
      <c r="H54" s="30"/>
    </row>
    <row r="55" spans="1:8" ht="18" customHeight="1">
      <c r="A55" s="410"/>
      <c r="B55" s="411" t="s">
        <v>63</v>
      </c>
      <c r="C55" s="428">
        <v>17000</v>
      </c>
      <c r="D55" s="38">
        <v>0</v>
      </c>
      <c r="E55" s="38">
        <v>17000</v>
      </c>
      <c r="F55" s="38">
        <v>7000</v>
      </c>
      <c r="G55" s="435">
        <f t="shared" si="2"/>
        <v>41.1764705882353</v>
      </c>
      <c r="H55" s="30"/>
    </row>
    <row r="56" spans="1:8" s="24" customFormat="1" ht="16.5" customHeight="1">
      <c r="A56" s="407">
        <v>75495</v>
      </c>
      <c r="B56" s="36" t="s">
        <v>23</v>
      </c>
      <c r="C56" s="426">
        <f>C57</f>
        <v>10000</v>
      </c>
      <c r="D56" s="37">
        <f>D57</f>
        <v>0</v>
      </c>
      <c r="E56" s="37">
        <f>E57</f>
        <v>10000</v>
      </c>
      <c r="F56" s="37">
        <f>F57</f>
        <v>10001</v>
      </c>
      <c r="G56" s="434">
        <f t="shared" si="2"/>
        <v>100.01</v>
      </c>
      <c r="H56" s="80"/>
    </row>
    <row r="57" spans="1:8" ht="16.5" customHeight="1">
      <c r="A57" s="423"/>
      <c r="B57" s="419" t="s">
        <v>16</v>
      </c>
      <c r="C57" s="436">
        <v>10000</v>
      </c>
      <c r="D57" s="39">
        <v>0</v>
      </c>
      <c r="E57" s="39">
        <v>10000</v>
      </c>
      <c r="F57" s="39">
        <v>10001</v>
      </c>
      <c r="G57" s="437">
        <f t="shared" si="2"/>
        <v>100.01</v>
      </c>
      <c r="H57" s="30"/>
    </row>
    <row r="58" spans="1:8" ht="74.25" customHeight="1">
      <c r="A58" s="402">
        <v>756</v>
      </c>
      <c r="B58" s="438" t="s">
        <v>254</v>
      </c>
      <c r="C58" s="424">
        <f aca="true" t="shared" si="3" ref="C58:F59">C59</f>
        <v>95500</v>
      </c>
      <c r="D58" s="405">
        <f t="shared" si="3"/>
        <v>0</v>
      </c>
      <c r="E58" s="405">
        <f t="shared" si="3"/>
        <v>95500</v>
      </c>
      <c r="F58" s="405">
        <f t="shared" si="3"/>
        <v>67063</v>
      </c>
      <c r="G58" s="406">
        <f t="shared" si="2"/>
        <v>70.22303664921466</v>
      </c>
      <c r="H58" s="30"/>
    </row>
    <row r="59" spans="1:8" s="24" customFormat="1" ht="34.5" customHeight="1">
      <c r="A59" s="407" t="s">
        <v>96</v>
      </c>
      <c r="B59" s="89" t="s">
        <v>34</v>
      </c>
      <c r="C59" s="426">
        <f t="shared" si="3"/>
        <v>95500</v>
      </c>
      <c r="D59" s="37">
        <f t="shared" si="3"/>
        <v>0</v>
      </c>
      <c r="E59" s="37">
        <f t="shared" si="3"/>
        <v>95500</v>
      </c>
      <c r="F59" s="37">
        <f t="shared" si="3"/>
        <v>67063</v>
      </c>
      <c r="G59" s="409">
        <f t="shared" si="2"/>
        <v>70.22303664921466</v>
      </c>
      <c r="H59" s="80"/>
    </row>
    <row r="60" spans="1:8" ht="15.75" customHeight="1">
      <c r="A60" s="410"/>
      <c r="B60" s="439" t="s">
        <v>14</v>
      </c>
      <c r="C60" s="428">
        <f>16500+8000+1000+15000+20000+35000</f>
        <v>95500</v>
      </c>
      <c r="D60" s="38">
        <v>0</v>
      </c>
      <c r="E60" s="38">
        <f>19500+8000+1000+18000+20000+29000</f>
        <v>95500</v>
      </c>
      <c r="F60" s="38">
        <f>16539+5947+848+17871+18170+7688</f>
        <v>67063</v>
      </c>
      <c r="G60" s="412">
        <f t="shared" si="2"/>
        <v>70.22303664921466</v>
      </c>
      <c r="H60" s="30"/>
    </row>
    <row r="61" spans="1:8" ht="24" customHeight="1">
      <c r="A61" s="423"/>
      <c r="B61" s="440" t="s">
        <v>15</v>
      </c>
      <c r="C61" s="436">
        <f>16500+8000+1000+15000</f>
        <v>40500</v>
      </c>
      <c r="D61" s="39">
        <v>6000</v>
      </c>
      <c r="E61" s="39">
        <f>19500+8000+1000+18000</f>
        <v>46500</v>
      </c>
      <c r="F61" s="39">
        <f>16539+5947+848+17871</f>
        <v>41205</v>
      </c>
      <c r="G61" s="413">
        <f t="shared" si="2"/>
        <v>88.61290322580645</v>
      </c>
      <c r="H61" s="30"/>
    </row>
    <row r="62" spans="1:8" ht="21" customHeight="1">
      <c r="A62" s="402">
        <v>757</v>
      </c>
      <c r="B62" s="403" t="s">
        <v>35</v>
      </c>
      <c r="C62" s="424">
        <f aca="true" t="shared" si="4" ref="C62:F63">C63</f>
        <v>531000</v>
      </c>
      <c r="D62" s="405">
        <f t="shared" si="4"/>
        <v>-106000</v>
      </c>
      <c r="E62" s="405">
        <f t="shared" si="4"/>
        <v>425000</v>
      </c>
      <c r="F62" s="405">
        <f t="shared" si="4"/>
        <v>378965</v>
      </c>
      <c r="G62" s="406">
        <f t="shared" si="2"/>
        <v>89.16823529411765</v>
      </c>
      <c r="H62" s="30"/>
    </row>
    <row r="63" spans="1:8" s="24" customFormat="1" ht="55.5" customHeight="1">
      <c r="A63" s="407">
        <v>75702</v>
      </c>
      <c r="B63" s="36" t="s">
        <v>65</v>
      </c>
      <c r="C63" s="426">
        <f t="shared" si="4"/>
        <v>531000</v>
      </c>
      <c r="D63" s="37">
        <f t="shared" si="4"/>
        <v>-106000</v>
      </c>
      <c r="E63" s="37">
        <f t="shared" si="4"/>
        <v>425000</v>
      </c>
      <c r="F63" s="37">
        <f t="shared" si="4"/>
        <v>378965</v>
      </c>
      <c r="G63" s="409">
        <f t="shared" si="2"/>
        <v>89.16823529411765</v>
      </c>
      <c r="H63" s="80"/>
    </row>
    <row r="64" spans="1:8" ht="23.25" customHeight="1">
      <c r="A64" s="410"/>
      <c r="B64" s="411" t="s">
        <v>14</v>
      </c>
      <c r="C64" s="428">
        <v>531000</v>
      </c>
      <c r="D64" s="38">
        <v>-106000</v>
      </c>
      <c r="E64" s="38">
        <v>425000</v>
      </c>
      <c r="F64" s="38">
        <v>378965</v>
      </c>
      <c r="G64" s="412">
        <f t="shared" si="2"/>
        <v>89.16823529411765</v>
      </c>
      <c r="H64" s="30"/>
    </row>
    <row r="65" spans="1:8" ht="32.25" customHeight="1">
      <c r="A65" s="423"/>
      <c r="B65" s="419" t="s">
        <v>66</v>
      </c>
      <c r="C65" s="436">
        <v>531000</v>
      </c>
      <c r="D65" s="39">
        <v>-106000</v>
      </c>
      <c r="E65" s="39">
        <v>425000</v>
      </c>
      <c r="F65" s="39">
        <v>378965</v>
      </c>
      <c r="G65" s="413">
        <f t="shared" si="2"/>
        <v>89.16823529411765</v>
      </c>
      <c r="H65" s="30"/>
    </row>
    <row r="66" spans="1:8" ht="18.75" customHeight="1">
      <c r="A66" s="414">
        <v>758</v>
      </c>
      <c r="B66" s="403" t="s">
        <v>36</v>
      </c>
      <c r="C66" s="415">
        <f aca="true" t="shared" si="5" ref="C66:F67">C67</f>
        <v>200000</v>
      </c>
      <c r="D66" s="416">
        <f t="shared" si="5"/>
        <v>-200000</v>
      </c>
      <c r="E66" s="405">
        <f t="shared" si="5"/>
        <v>0</v>
      </c>
      <c r="F66" s="405">
        <f t="shared" si="5"/>
        <v>0</v>
      </c>
      <c r="G66" s="406">
        <v>0</v>
      </c>
      <c r="H66" s="30"/>
    </row>
    <row r="67" spans="1:7" s="80" customFormat="1" ht="18" customHeight="1">
      <c r="A67" s="417">
        <v>75818</v>
      </c>
      <c r="B67" s="36" t="s">
        <v>37</v>
      </c>
      <c r="C67" s="408">
        <f t="shared" si="5"/>
        <v>200000</v>
      </c>
      <c r="D67" s="87">
        <f t="shared" si="5"/>
        <v>-200000</v>
      </c>
      <c r="E67" s="37">
        <f t="shared" si="5"/>
        <v>0</v>
      </c>
      <c r="F67" s="37">
        <f t="shared" si="5"/>
        <v>0</v>
      </c>
      <c r="G67" s="409">
        <v>0</v>
      </c>
    </row>
    <row r="68" spans="1:8" ht="18.75" customHeight="1">
      <c r="A68" s="422"/>
      <c r="B68" s="411" t="s">
        <v>38</v>
      </c>
      <c r="C68" s="404">
        <v>200000</v>
      </c>
      <c r="D68" s="85">
        <v>-200000</v>
      </c>
      <c r="E68" s="38">
        <v>0</v>
      </c>
      <c r="F68" s="38">
        <v>0</v>
      </c>
      <c r="G68" s="412">
        <v>0</v>
      </c>
      <c r="H68" s="30"/>
    </row>
    <row r="69" spans="1:8" ht="18" customHeight="1">
      <c r="A69" s="422"/>
      <c r="B69" s="411" t="s">
        <v>67</v>
      </c>
      <c r="C69" s="404">
        <v>200000</v>
      </c>
      <c r="D69" s="85">
        <v>-200000</v>
      </c>
      <c r="E69" s="39">
        <v>0</v>
      </c>
      <c r="F69" s="39">
        <v>0</v>
      </c>
      <c r="G69" s="413">
        <v>0</v>
      </c>
      <c r="H69" s="30"/>
    </row>
    <row r="70" spans="1:8" ht="18" customHeight="1">
      <c r="A70" s="402">
        <v>801</v>
      </c>
      <c r="B70" s="403" t="s">
        <v>7</v>
      </c>
      <c r="C70" s="424">
        <f>C71+C74+C78+C81+C84+C86+C88</f>
        <v>12125055</v>
      </c>
      <c r="D70" s="405">
        <f>D71+D74+D78+D81+D84+D86+D88</f>
        <v>42672</v>
      </c>
      <c r="E70" s="405">
        <f>E71+E74+E78+E81+E84+E86+E88</f>
        <v>12167727</v>
      </c>
      <c r="F70" s="405">
        <f>F71+F74+F78+F81+F84+F86+F88</f>
        <v>11926231</v>
      </c>
      <c r="G70" s="425">
        <f aca="true" t="shared" si="6" ref="G70:G99">F70*100/E70</f>
        <v>98.01527434006368</v>
      </c>
      <c r="H70" s="30"/>
    </row>
    <row r="71" spans="1:8" s="24" customFormat="1" ht="16.5" customHeight="1">
      <c r="A71" s="407">
        <v>80101</v>
      </c>
      <c r="B71" s="36" t="s">
        <v>39</v>
      </c>
      <c r="C71" s="426">
        <f>C72</f>
        <v>5251503</v>
      </c>
      <c r="D71" s="37">
        <f>D72</f>
        <v>73193</v>
      </c>
      <c r="E71" s="37">
        <f>E72</f>
        <v>5324696</v>
      </c>
      <c r="F71" s="37">
        <f>F72</f>
        <v>5248997</v>
      </c>
      <c r="G71" s="427">
        <f t="shared" si="6"/>
        <v>98.57834137385495</v>
      </c>
      <c r="H71" s="80"/>
    </row>
    <row r="72" spans="1:8" ht="18" customHeight="1">
      <c r="A72" s="410"/>
      <c r="B72" s="411" t="s">
        <v>14</v>
      </c>
      <c r="C72" s="428">
        <f>16155+3435158+280579+656314+89382+51209+5500+328270+70000+63199+1180+7550+247007</f>
        <v>5251503</v>
      </c>
      <c r="D72" s="38">
        <v>73193</v>
      </c>
      <c r="E72" s="38">
        <f>13155+3433+3513961+272070+658305+89714+59734+5500+318270+70000+62799+1180+7250+249325</f>
        <v>5324696</v>
      </c>
      <c r="F72" s="38">
        <f>13147+3422+3472504+272070+648273+88217+59724+5304+298090+70000+62171+1084+5666+249325</f>
        <v>5248997</v>
      </c>
      <c r="G72" s="429">
        <f t="shared" si="6"/>
        <v>98.57834137385495</v>
      </c>
      <c r="H72" s="30"/>
    </row>
    <row r="73" spans="1:8" ht="18.75" customHeight="1">
      <c r="A73" s="410"/>
      <c r="B73" s="411" t="s">
        <v>15</v>
      </c>
      <c r="C73" s="428">
        <f>3435158+280579+656314+89382</f>
        <v>4461433</v>
      </c>
      <c r="D73" s="428">
        <v>72617</v>
      </c>
      <c r="E73" s="38">
        <f>3513961+272070+658305+89714</f>
        <v>4534050</v>
      </c>
      <c r="F73" s="38">
        <f>3472504+272070+648273+88217</f>
        <v>4481064</v>
      </c>
      <c r="G73" s="429">
        <f t="shared" si="6"/>
        <v>98.83137592218877</v>
      </c>
      <c r="H73" s="30"/>
    </row>
    <row r="74" spans="1:8" s="24" customFormat="1" ht="15" customHeight="1">
      <c r="A74" s="407" t="s">
        <v>74</v>
      </c>
      <c r="B74" s="36" t="s">
        <v>40</v>
      </c>
      <c r="C74" s="426">
        <f>C75</f>
        <v>3473575</v>
      </c>
      <c r="D74" s="37">
        <f>D75</f>
        <v>-76053</v>
      </c>
      <c r="E74" s="37">
        <f>E75</f>
        <v>3397522</v>
      </c>
      <c r="F74" s="37">
        <f>F75</f>
        <v>3311569</v>
      </c>
      <c r="G74" s="427">
        <f t="shared" si="6"/>
        <v>97.47012675708943</v>
      </c>
      <c r="H74" s="80"/>
    </row>
    <row r="75" spans="1:8" ht="18" customHeight="1">
      <c r="A75" s="410"/>
      <c r="B75" s="411" t="s">
        <v>14</v>
      </c>
      <c r="C75" s="428">
        <f>118081+8400+2007656+155746+368491+50193+5400+37250+291000+4900+210700+13000+61300+750+2200+138508</f>
        <v>3473575</v>
      </c>
      <c r="D75" s="38">
        <v>-76053</v>
      </c>
      <c r="E75" s="38">
        <f>118081+8800+1912513+146419+361740+49244+62210+311300+6740+200474+19100+58700+498+336+2700+138508+159</f>
        <v>3397522</v>
      </c>
      <c r="F75" s="38">
        <f>118081+8755+1889059+146417+355415+48398+62157+289689+6725+168840+19099+56907+370+325+2669+138508+155</f>
        <v>3311569</v>
      </c>
      <c r="G75" s="429">
        <f t="shared" si="6"/>
        <v>97.47012675708943</v>
      </c>
      <c r="H75" s="30"/>
    </row>
    <row r="76" spans="1:8" ht="18" customHeight="1">
      <c r="A76" s="410"/>
      <c r="B76" s="411" t="s">
        <v>15</v>
      </c>
      <c r="C76" s="428">
        <f>2007656+155746+368491+50193</f>
        <v>2582086</v>
      </c>
      <c r="D76" s="38">
        <v>-112170</v>
      </c>
      <c r="E76" s="38">
        <f>1912513+146419+361740+49244</f>
        <v>2469916</v>
      </c>
      <c r="F76" s="38">
        <f>1889059+146417+355415+48398</f>
        <v>2439289</v>
      </c>
      <c r="G76" s="429">
        <f t="shared" si="6"/>
        <v>98.75999831573219</v>
      </c>
      <c r="H76" s="30"/>
    </row>
    <row r="77" spans="1:8" ht="18" customHeight="1">
      <c r="A77" s="410"/>
      <c r="B77" s="411" t="s">
        <v>64</v>
      </c>
      <c r="C77" s="428">
        <v>118081</v>
      </c>
      <c r="D77" s="38">
        <v>0</v>
      </c>
      <c r="E77" s="38">
        <v>118081</v>
      </c>
      <c r="F77" s="38">
        <v>118081</v>
      </c>
      <c r="G77" s="429">
        <f t="shared" si="6"/>
        <v>100</v>
      </c>
      <c r="H77" s="30"/>
    </row>
    <row r="78" spans="1:8" s="24" customFormat="1" ht="16.5" customHeight="1">
      <c r="A78" s="407">
        <v>80110</v>
      </c>
      <c r="B78" s="36" t="s">
        <v>41</v>
      </c>
      <c r="C78" s="426">
        <f>C79</f>
        <v>3319321</v>
      </c>
      <c r="D78" s="37">
        <f>D79</f>
        <v>23398</v>
      </c>
      <c r="E78" s="37">
        <f>E79</f>
        <v>3342719</v>
      </c>
      <c r="F78" s="37">
        <f>F79</f>
        <v>3278138</v>
      </c>
      <c r="G78" s="427">
        <f t="shared" si="6"/>
        <v>98.06800990451187</v>
      </c>
      <c r="H78" s="80"/>
    </row>
    <row r="79" spans="1:8" ht="18" customHeight="1">
      <c r="A79" s="410"/>
      <c r="B79" s="411" t="s">
        <v>14</v>
      </c>
      <c r="C79" s="428">
        <f>14766+2231146+180384+422876+57712+19987+3000+147150+50000+31970+1210+3660+155460</f>
        <v>3319321</v>
      </c>
      <c r="D79" s="38">
        <v>23398</v>
      </c>
      <c r="E79" s="38">
        <f>13766+2249655+179020+422757+57308+23128+3000+147150+50000+33959+1080+5160+156736</f>
        <v>3342719</v>
      </c>
      <c r="F79" s="38">
        <f>13314+2216665+179019+417933+57045+23087+2995+136588+37347+33123+631+4513+155878</f>
        <v>3278138</v>
      </c>
      <c r="G79" s="429">
        <f t="shared" si="6"/>
        <v>98.06800990451187</v>
      </c>
      <c r="H79" s="30"/>
    </row>
    <row r="80" spans="1:8" ht="18" customHeight="1">
      <c r="A80" s="410"/>
      <c r="B80" s="411" t="s">
        <v>15</v>
      </c>
      <c r="C80" s="441">
        <f>2231146+180384+422876+57712</f>
        <v>2892118</v>
      </c>
      <c r="D80" s="38">
        <v>16622</v>
      </c>
      <c r="E80" s="38">
        <f>2249655+179020+422757+57308</f>
        <v>2908740</v>
      </c>
      <c r="F80" s="38">
        <f>2216665+179019+417933+57045</f>
        <v>2870662</v>
      </c>
      <c r="G80" s="429">
        <f t="shared" si="6"/>
        <v>98.69091084112021</v>
      </c>
      <c r="H80" s="30"/>
    </row>
    <row r="81" spans="1:8" s="24" customFormat="1" ht="18.75" customHeight="1">
      <c r="A81" s="407">
        <v>80113</v>
      </c>
      <c r="B81" s="36" t="s">
        <v>42</v>
      </c>
      <c r="C81" s="426">
        <f>C82</f>
        <v>15000</v>
      </c>
      <c r="D81" s="37">
        <f>D82</f>
        <v>21334</v>
      </c>
      <c r="E81" s="37">
        <f>E82</f>
        <v>36334</v>
      </c>
      <c r="F81" s="37">
        <f>F82</f>
        <v>27646</v>
      </c>
      <c r="G81" s="427">
        <f t="shared" si="6"/>
        <v>76.08851213739197</v>
      </c>
      <c r="H81" s="80"/>
    </row>
    <row r="82" spans="1:8" ht="18" customHeight="1">
      <c r="A82" s="410"/>
      <c r="B82" s="411" t="s">
        <v>14</v>
      </c>
      <c r="C82" s="428">
        <f>10000+5000</f>
        <v>15000</v>
      </c>
      <c r="D82" s="38">
        <v>21334</v>
      </c>
      <c r="E82" s="38">
        <f>14000+22334</f>
        <v>36334</v>
      </c>
      <c r="F82" s="38">
        <f>13846+13800</f>
        <v>27646</v>
      </c>
      <c r="G82" s="429">
        <f t="shared" si="6"/>
        <v>76.08851213739197</v>
      </c>
      <c r="H82" s="30"/>
    </row>
    <row r="83" spans="1:8" ht="18" customHeight="1">
      <c r="A83" s="410"/>
      <c r="B83" s="411" t="s">
        <v>64</v>
      </c>
      <c r="C83" s="428">
        <v>10000</v>
      </c>
      <c r="D83" s="38">
        <v>4000</v>
      </c>
      <c r="E83" s="38">
        <v>14000</v>
      </c>
      <c r="F83" s="38">
        <v>13846</v>
      </c>
      <c r="G83" s="429">
        <f t="shared" si="6"/>
        <v>98.9</v>
      </c>
      <c r="H83" s="30"/>
    </row>
    <row r="84" spans="1:8" s="24" customFormat="1" ht="18" customHeight="1">
      <c r="A84" s="407" t="s">
        <v>150</v>
      </c>
      <c r="B84" s="36" t="s">
        <v>151</v>
      </c>
      <c r="C84" s="426">
        <f>C85</f>
        <v>2000</v>
      </c>
      <c r="D84" s="37">
        <f>D85</f>
        <v>0</v>
      </c>
      <c r="E84" s="37">
        <f>E85</f>
        <v>2000</v>
      </c>
      <c r="F84" s="37">
        <f>F85</f>
        <v>1216</v>
      </c>
      <c r="G84" s="427">
        <f t="shared" si="6"/>
        <v>60.8</v>
      </c>
      <c r="H84" s="80"/>
    </row>
    <row r="85" spans="1:8" ht="18.75" customHeight="1">
      <c r="A85" s="410"/>
      <c r="B85" s="411" t="s">
        <v>16</v>
      </c>
      <c r="C85" s="428">
        <f>200+1800</f>
        <v>2000</v>
      </c>
      <c r="D85" s="38">
        <v>0</v>
      </c>
      <c r="E85" s="38">
        <f>200+1800</f>
        <v>2000</v>
      </c>
      <c r="F85" s="38">
        <f>1216</f>
        <v>1216</v>
      </c>
      <c r="G85" s="429">
        <f t="shared" si="6"/>
        <v>60.8</v>
      </c>
      <c r="H85" s="30"/>
    </row>
    <row r="86" spans="1:8" s="24" customFormat="1" ht="28.5" customHeight="1">
      <c r="A86" s="407">
        <v>80146</v>
      </c>
      <c r="B86" s="36" t="s">
        <v>43</v>
      </c>
      <c r="C86" s="426">
        <f>C87</f>
        <v>63656</v>
      </c>
      <c r="D86" s="37">
        <f>D87</f>
        <v>0</v>
      </c>
      <c r="E86" s="37">
        <f>E87</f>
        <v>63656</v>
      </c>
      <c r="F86" s="37">
        <f>F87</f>
        <v>57775</v>
      </c>
      <c r="G86" s="427">
        <f t="shared" si="6"/>
        <v>90.7612793766495</v>
      </c>
      <c r="H86" s="80"/>
    </row>
    <row r="87" spans="1:8" ht="18" customHeight="1">
      <c r="A87" s="410"/>
      <c r="B87" s="411" t="s">
        <v>16</v>
      </c>
      <c r="C87" s="428">
        <f>29700+3284+29048+1624</f>
        <v>63656</v>
      </c>
      <c r="D87" s="38">
        <v>0</v>
      </c>
      <c r="E87" s="38">
        <f>24500+13080+24452+1624</f>
        <v>63656</v>
      </c>
      <c r="F87" s="38">
        <f>22695+12885+20893+1302</f>
        <v>57775</v>
      </c>
      <c r="G87" s="429">
        <f t="shared" si="6"/>
        <v>90.7612793766495</v>
      </c>
      <c r="H87" s="30"/>
    </row>
    <row r="88" spans="1:8" s="24" customFormat="1" ht="18" customHeight="1">
      <c r="A88" s="407" t="s">
        <v>211</v>
      </c>
      <c r="B88" s="36" t="s">
        <v>23</v>
      </c>
      <c r="C88" s="37">
        <f>C89</f>
        <v>0</v>
      </c>
      <c r="D88" s="37">
        <f>D89</f>
        <v>800</v>
      </c>
      <c r="E88" s="37">
        <f>E89</f>
        <v>800</v>
      </c>
      <c r="F88" s="37">
        <f>F89</f>
        <v>890</v>
      </c>
      <c r="G88" s="427">
        <f t="shared" si="6"/>
        <v>111.25</v>
      </c>
      <c r="H88" s="80"/>
    </row>
    <row r="89" spans="1:8" s="40" customFormat="1" ht="18" customHeight="1">
      <c r="A89" s="410"/>
      <c r="B89" s="411" t="s">
        <v>14</v>
      </c>
      <c r="C89" s="428">
        <v>0</v>
      </c>
      <c r="D89" s="38">
        <v>800</v>
      </c>
      <c r="E89" s="38">
        <f>50+20+400+330</f>
        <v>800</v>
      </c>
      <c r="F89" s="38">
        <f>21+3+536+330</f>
        <v>890</v>
      </c>
      <c r="G89" s="429">
        <f t="shared" si="6"/>
        <v>111.25</v>
      </c>
      <c r="H89" s="30"/>
    </row>
    <row r="90" spans="1:8" ht="18" customHeight="1">
      <c r="A90" s="423"/>
      <c r="B90" s="419" t="s">
        <v>15</v>
      </c>
      <c r="C90" s="436">
        <v>0</v>
      </c>
      <c r="D90" s="39">
        <v>470</v>
      </c>
      <c r="E90" s="39">
        <f>50+20+400</f>
        <v>470</v>
      </c>
      <c r="F90" s="39">
        <f>21+3+536</f>
        <v>560</v>
      </c>
      <c r="G90" s="442">
        <f t="shared" si="6"/>
        <v>119.14893617021276</v>
      </c>
      <c r="H90" s="30"/>
    </row>
    <row r="91" spans="1:8" ht="18.75" customHeight="1">
      <c r="A91" s="402">
        <v>851</v>
      </c>
      <c r="B91" s="403" t="s">
        <v>44</v>
      </c>
      <c r="C91" s="415">
        <f>C92+C95+C100</f>
        <v>461885</v>
      </c>
      <c r="D91" s="416">
        <f>D92+D95+D100</f>
        <v>20000</v>
      </c>
      <c r="E91" s="405">
        <f>E92+E95+E100</f>
        <v>481885</v>
      </c>
      <c r="F91" s="405">
        <f>F92+F95+F100</f>
        <v>367435</v>
      </c>
      <c r="G91" s="425">
        <f t="shared" si="6"/>
        <v>76.24952011372008</v>
      </c>
      <c r="H91" s="30"/>
    </row>
    <row r="92" spans="1:8" s="24" customFormat="1" ht="18.75" customHeight="1">
      <c r="A92" s="407">
        <v>85153</v>
      </c>
      <c r="B92" s="36" t="s">
        <v>45</v>
      </c>
      <c r="C92" s="408">
        <f>C93</f>
        <v>4000</v>
      </c>
      <c r="D92" s="87">
        <f>D93</f>
        <v>0</v>
      </c>
      <c r="E92" s="37">
        <f>E93</f>
        <v>4000</v>
      </c>
      <c r="F92" s="37">
        <f>F93</f>
        <v>4000</v>
      </c>
      <c r="G92" s="427">
        <f t="shared" si="6"/>
        <v>100</v>
      </c>
      <c r="H92" s="80"/>
    </row>
    <row r="93" spans="1:8" ht="18" customHeight="1">
      <c r="A93" s="410"/>
      <c r="B93" s="411" t="s">
        <v>14</v>
      </c>
      <c r="C93" s="404">
        <v>4000</v>
      </c>
      <c r="D93" s="85">
        <v>0</v>
      </c>
      <c r="E93" s="38">
        <v>4000</v>
      </c>
      <c r="F93" s="38">
        <v>4000</v>
      </c>
      <c r="G93" s="429">
        <f t="shared" si="6"/>
        <v>100</v>
      </c>
      <c r="H93" s="30"/>
    </row>
    <row r="94" spans="1:8" ht="18" customHeight="1">
      <c r="A94" s="410"/>
      <c r="B94" s="411" t="s">
        <v>64</v>
      </c>
      <c r="C94" s="404">
        <v>4000</v>
      </c>
      <c r="D94" s="85">
        <v>0</v>
      </c>
      <c r="E94" s="38">
        <v>4000</v>
      </c>
      <c r="F94" s="38">
        <v>4000</v>
      </c>
      <c r="G94" s="429">
        <f t="shared" si="6"/>
        <v>100</v>
      </c>
      <c r="H94" s="30"/>
    </row>
    <row r="95" spans="1:8" s="24" customFormat="1" ht="18" customHeight="1">
      <c r="A95" s="407">
        <v>85154</v>
      </c>
      <c r="B95" s="36" t="s">
        <v>46</v>
      </c>
      <c r="C95" s="408">
        <f>C96+C99</f>
        <v>457885</v>
      </c>
      <c r="D95" s="87">
        <f>D96+D99</f>
        <v>0</v>
      </c>
      <c r="E95" s="37">
        <f>E96+E99</f>
        <v>457885</v>
      </c>
      <c r="F95" s="37">
        <f>F96+F99</f>
        <v>363435</v>
      </c>
      <c r="G95" s="427">
        <f t="shared" si="6"/>
        <v>79.37254987606059</v>
      </c>
      <c r="H95" s="80"/>
    </row>
    <row r="96" spans="1:8" ht="18" customHeight="1">
      <c r="A96" s="410"/>
      <c r="B96" s="411" t="s">
        <v>14</v>
      </c>
      <c r="C96" s="404">
        <f>10000+27000+5000+81260+9560+15620+2215+57200+11710+64000+4320</f>
        <v>287885</v>
      </c>
      <c r="D96" s="85">
        <v>0</v>
      </c>
      <c r="E96" s="38">
        <f>10000+19000+4187+86260+4560+15620+2215+34600+20008+85802+500+5133</f>
        <v>287885</v>
      </c>
      <c r="F96" s="38">
        <f>3700+18000+2626+84286+4209+15536+2210+34247+16470+83936+275+5133</f>
        <v>270628</v>
      </c>
      <c r="G96" s="429">
        <f t="shared" si="6"/>
        <v>94.00559251089845</v>
      </c>
      <c r="H96" s="30"/>
    </row>
    <row r="97" spans="1:8" ht="18" customHeight="1">
      <c r="A97" s="410"/>
      <c r="B97" s="411" t="s">
        <v>15</v>
      </c>
      <c r="C97" s="404">
        <f>81260+9560+15620+2215+57200</f>
        <v>165855</v>
      </c>
      <c r="D97" s="85">
        <v>-22600</v>
      </c>
      <c r="E97" s="38">
        <f>86260+4560+15620+2215+34600</f>
        <v>143255</v>
      </c>
      <c r="F97" s="38">
        <f>84286+4209+15536+2210+34247</f>
        <v>140488</v>
      </c>
      <c r="G97" s="429">
        <f t="shared" si="6"/>
        <v>98.06847928519075</v>
      </c>
      <c r="H97" s="30"/>
    </row>
    <row r="98" spans="1:8" ht="18" customHeight="1">
      <c r="A98" s="410"/>
      <c r="B98" s="411" t="s">
        <v>64</v>
      </c>
      <c r="C98" s="404">
        <f>10000+27000</f>
        <v>37000</v>
      </c>
      <c r="D98" s="85">
        <v>-8000</v>
      </c>
      <c r="E98" s="38">
        <f>10000+19000</f>
        <v>29000</v>
      </c>
      <c r="F98" s="38">
        <f>3700+18000</f>
        <v>21700</v>
      </c>
      <c r="G98" s="429">
        <f t="shared" si="6"/>
        <v>74.82758620689656</v>
      </c>
      <c r="H98" s="30"/>
    </row>
    <row r="99" spans="1:8" ht="18.75" customHeight="1">
      <c r="A99" s="410"/>
      <c r="B99" s="411" t="s">
        <v>63</v>
      </c>
      <c r="C99" s="428">
        <v>170000</v>
      </c>
      <c r="D99" s="38">
        <v>0</v>
      </c>
      <c r="E99" s="38">
        <v>170000</v>
      </c>
      <c r="F99" s="38">
        <v>92807</v>
      </c>
      <c r="G99" s="429">
        <f t="shared" si="6"/>
        <v>54.59235294117647</v>
      </c>
      <c r="H99" s="30"/>
    </row>
    <row r="100" spans="1:8" s="24" customFormat="1" ht="18" customHeight="1">
      <c r="A100" s="407" t="s">
        <v>227</v>
      </c>
      <c r="B100" s="36" t="s">
        <v>197</v>
      </c>
      <c r="C100" s="408">
        <f>C101</f>
        <v>0</v>
      </c>
      <c r="D100" s="87">
        <f>D101</f>
        <v>20000</v>
      </c>
      <c r="E100" s="37">
        <f>E101</f>
        <v>20000</v>
      </c>
      <c r="F100" s="37">
        <f>F101</f>
        <v>0</v>
      </c>
      <c r="G100" s="409">
        <v>0</v>
      </c>
      <c r="H100" s="80"/>
    </row>
    <row r="101" spans="1:8" ht="18.75" customHeight="1">
      <c r="A101" s="410"/>
      <c r="B101" s="411" t="s">
        <v>63</v>
      </c>
      <c r="C101" s="404">
        <v>0</v>
      </c>
      <c r="D101" s="85">
        <v>20000</v>
      </c>
      <c r="E101" s="38">
        <v>20000</v>
      </c>
      <c r="F101" s="38">
        <v>0</v>
      </c>
      <c r="G101" s="412">
        <v>0</v>
      </c>
      <c r="H101" s="30"/>
    </row>
    <row r="102" spans="1:8" ht="18" customHeight="1">
      <c r="A102" s="410"/>
      <c r="B102" s="411" t="s">
        <v>64</v>
      </c>
      <c r="C102" s="404">
        <v>0</v>
      </c>
      <c r="D102" s="85">
        <v>20000</v>
      </c>
      <c r="E102" s="38">
        <v>20000</v>
      </c>
      <c r="F102" s="38">
        <v>0</v>
      </c>
      <c r="G102" s="412">
        <v>0</v>
      </c>
      <c r="H102" s="30"/>
    </row>
    <row r="103" spans="1:8" ht="18" customHeight="1">
      <c r="A103" s="402">
        <v>852</v>
      </c>
      <c r="B103" s="403" t="s">
        <v>8</v>
      </c>
      <c r="C103" s="415">
        <f>C104+C107+C109+C111+C113+C116</f>
        <v>4410399</v>
      </c>
      <c r="D103" s="416">
        <f>D104+D107+D109+D111+D113+D116</f>
        <v>470759</v>
      </c>
      <c r="E103" s="405">
        <f>E104+E107+E109+E111+E113+E116</f>
        <v>4881158</v>
      </c>
      <c r="F103" s="405">
        <f>F104+F107+F109+F111+F113+F116</f>
        <v>4858530</v>
      </c>
      <c r="G103" s="406">
        <f aca="true" t="shared" si="7" ref="G103:G134">F103*100/E103</f>
        <v>99.53642148031267</v>
      </c>
      <c r="H103" s="30"/>
    </row>
    <row r="104" spans="1:8" s="24" customFormat="1" ht="51.75" customHeight="1">
      <c r="A104" s="407" t="s">
        <v>152</v>
      </c>
      <c r="B104" s="36" t="s">
        <v>153</v>
      </c>
      <c r="C104" s="408">
        <f>C105+C106</f>
        <v>2197500</v>
      </c>
      <c r="D104" s="87">
        <f>D105+D106</f>
        <v>403981</v>
      </c>
      <c r="E104" s="37">
        <f>E105+E106</f>
        <v>2601481</v>
      </c>
      <c r="F104" s="37">
        <f>F105+F106</f>
        <v>2598367</v>
      </c>
      <c r="G104" s="409">
        <f t="shared" si="7"/>
        <v>99.88029895278882</v>
      </c>
      <c r="H104" s="80"/>
    </row>
    <row r="105" spans="1:8" ht="18" customHeight="1">
      <c r="A105" s="410"/>
      <c r="B105" s="411" t="s">
        <v>16</v>
      </c>
      <c r="C105" s="404">
        <f>2155500+42000</f>
        <v>2197500</v>
      </c>
      <c r="D105" s="85">
        <v>395981</v>
      </c>
      <c r="E105" s="38">
        <f>2497407+47074+45500+3500</f>
        <v>2593481</v>
      </c>
      <c r="F105" s="38">
        <f>2495238+46860+44822+3447</f>
        <v>2590367</v>
      </c>
      <c r="G105" s="412">
        <f t="shared" si="7"/>
        <v>99.87992971608429</v>
      </c>
      <c r="H105" s="30"/>
    </row>
    <row r="106" spans="1:8" ht="18" customHeight="1">
      <c r="A106" s="410"/>
      <c r="B106" s="411" t="s">
        <v>63</v>
      </c>
      <c r="C106" s="404">
        <v>0</v>
      </c>
      <c r="D106" s="85">
        <v>8000</v>
      </c>
      <c r="E106" s="38">
        <v>8000</v>
      </c>
      <c r="F106" s="38">
        <v>8000</v>
      </c>
      <c r="G106" s="412">
        <f t="shared" si="7"/>
        <v>100</v>
      </c>
      <c r="H106" s="30"/>
    </row>
    <row r="107" spans="1:8" s="24" customFormat="1" ht="50.25" customHeight="1">
      <c r="A107" s="407">
        <v>85213</v>
      </c>
      <c r="B107" s="36" t="s">
        <v>18</v>
      </c>
      <c r="C107" s="408">
        <f>C108</f>
        <v>36800</v>
      </c>
      <c r="D107" s="87">
        <f>D108</f>
        <v>-15288</v>
      </c>
      <c r="E107" s="37">
        <f>E108</f>
        <v>21512</v>
      </c>
      <c r="F107" s="37">
        <f>F108</f>
        <v>21622</v>
      </c>
      <c r="G107" s="409">
        <f t="shared" si="7"/>
        <v>100.511342506508</v>
      </c>
      <c r="H107" s="80"/>
    </row>
    <row r="108" spans="1:8" ht="21" customHeight="1">
      <c r="A108" s="410"/>
      <c r="B108" s="411" t="s">
        <v>16</v>
      </c>
      <c r="C108" s="404">
        <f>36800</f>
        <v>36800</v>
      </c>
      <c r="D108" s="85">
        <v>-15288</v>
      </c>
      <c r="E108" s="38">
        <v>21512</v>
      </c>
      <c r="F108" s="38">
        <v>21622</v>
      </c>
      <c r="G108" s="412">
        <f t="shared" si="7"/>
        <v>100.511342506508</v>
      </c>
      <c r="H108" s="30"/>
    </row>
    <row r="109" spans="1:8" s="24" customFormat="1" ht="36" customHeight="1">
      <c r="A109" s="407">
        <v>85214</v>
      </c>
      <c r="B109" s="36" t="s">
        <v>19</v>
      </c>
      <c r="C109" s="408">
        <f>C110</f>
        <v>600850</v>
      </c>
      <c r="D109" s="87">
        <f>D110</f>
        <v>63226</v>
      </c>
      <c r="E109" s="37">
        <f>E110</f>
        <v>664076</v>
      </c>
      <c r="F109" s="37">
        <f>F110</f>
        <v>662085</v>
      </c>
      <c r="G109" s="409">
        <f t="shared" si="7"/>
        <v>99.70018491859365</v>
      </c>
      <c r="H109" s="80"/>
    </row>
    <row r="110" spans="1:8" ht="18" customHeight="1">
      <c r="A110" s="423"/>
      <c r="B110" s="419" t="s">
        <v>16</v>
      </c>
      <c r="C110" s="420">
        <f>600850</f>
        <v>600850</v>
      </c>
      <c r="D110" s="421">
        <v>63226</v>
      </c>
      <c r="E110" s="39">
        <f>653058+11018</f>
        <v>664076</v>
      </c>
      <c r="F110" s="39">
        <f>651067+11018</f>
        <v>662085</v>
      </c>
      <c r="G110" s="413">
        <f t="shared" si="7"/>
        <v>99.70018491859365</v>
      </c>
      <c r="H110" s="30"/>
    </row>
    <row r="111" spans="1:8" s="24" customFormat="1" ht="21" customHeight="1">
      <c r="A111" s="443">
        <v>85215</v>
      </c>
      <c r="B111" s="444" t="s">
        <v>47</v>
      </c>
      <c r="C111" s="445">
        <f>C112</f>
        <v>550000</v>
      </c>
      <c r="D111" s="446">
        <f>D112</f>
        <v>-125000</v>
      </c>
      <c r="E111" s="159">
        <f>E112</f>
        <v>425000</v>
      </c>
      <c r="F111" s="159">
        <f>F112</f>
        <v>408570</v>
      </c>
      <c r="G111" s="447">
        <f t="shared" si="7"/>
        <v>96.13411764705883</v>
      </c>
      <c r="H111" s="80"/>
    </row>
    <row r="112" spans="1:8" ht="18" customHeight="1">
      <c r="A112" s="410"/>
      <c r="B112" s="411" t="s">
        <v>16</v>
      </c>
      <c r="C112" s="404">
        <v>550000</v>
      </c>
      <c r="D112" s="85">
        <v>-125000</v>
      </c>
      <c r="E112" s="38">
        <v>425000</v>
      </c>
      <c r="F112" s="38">
        <v>408570</v>
      </c>
      <c r="G112" s="412">
        <f t="shared" si="7"/>
        <v>96.13411764705883</v>
      </c>
      <c r="H112" s="30"/>
    </row>
    <row r="113" spans="1:8" s="24" customFormat="1" ht="19.5" customHeight="1">
      <c r="A113" s="407">
        <v>85219</v>
      </c>
      <c r="B113" s="36" t="s">
        <v>20</v>
      </c>
      <c r="C113" s="408">
        <f>C114</f>
        <v>878049</v>
      </c>
      <c r="D113" s="87">
        <f>D114</f>
        <v>13000</v>
      </c>
      <c r="E113" s="37">
        <f>E114</f>
        <v>891049</v>
      </c>
      <c r="F113" s="37">
        <f>F114</f>
        <v>889846</v>
      </c>
      <c r="G113" s="409">
        <f t="shared" si="7"/>
        <v>99.8649905897431</v>
      </c>
      <c r="H113" s="80"/>
    </row>
    <row r="114" spans="1:8" ht="18" customHeight="1">
      <c r="A114" s="410"/>
      <c r="B114" s="411" t="s">
        <v>14</v>
      </c>
      <c r="C114" s="404">
        <f>7639+620297+47029+117120+16185+9922+10702+5555+20602+550+450+21998</f>
        <v>878049</v>
      </c>
      <c r="D114" s="85">
        <v>13000</v>
      </c>
      <c r="E114" s="38">
        <f>7904+610722+47029+111671+15506+10701+8000+34114+4130+18098+126+316+22732</f>
        <v>891049</v>
      </c>
      <c r="F114" s="38">
        <f>7897+610720+47027+111669+15505+10700+8000+34114+3098+17944+125+316+22731</f>
        <v>889846</v>
      </c>
      <c r="G114" s="412">
        <f t="shared" si="7"/>
        <v>99.8649905897431</v>
      </c>
      <c r="H114" s="30"/>
    </row>
    <row r="115" spans="1:8" ht="18" customHeight="1">
      <c r="A115" s="410"/>
      <c r="B115" s="411" t="s">
        <v>15</v>
      </c>
      <c r="C115" s="404">
        <f>620297+47029+117120+16185</f>
        <v>800631</v>
      </c>
      <c r="D115" s="85">
        <v>-7703</v>
      </c>
      <c r="E115" s="38">
        <f>610722+47029+111671+15506+8000</f>
        <v>792928</v>
      </c>
      <c r="F115" s="38">
        <f>610720+47027+111669+15505+8000</f>
        <v>792921</v>
      </c>
      <c r="G115" s="412">
        <f t="shared" si="7"/>
        <v>99.99911719601275</v>
      </c>
      <c r="H115" s="30"/>
    </row>
    <row r="116" spans="1:8" s="24" customFormat="1" ht="20.25" customHeight="1">
      <c r="A116" s="407">
        <v>85295</v>
      </c>
      <c r="B116" s="36" t="s">
        <v>23</v>
      </c>
      <c r="C116" s="408">
        <f>C117</f>
        <v>147200</v>
      </c>
      <c r="D116" s="87">
        <f>D117</f>
        <v>130840</v>
      </c>
      <c r="E116" s="37">
        <f>E117</f>
        <v>278040</v>
      </c>
      <c r="F116" s="37">
        <f>F117</f>
        <v>278040</v>
      </c>
      <c r="G116" s="409">
        <f t="shared" si="7"/>
        <v>100</v>
      </c>
      <c r="H116" s="80"/>
    </row>
    <row r="117" spans="1:8" ht="18" customHeight="1">
      <c r="A117" s="410"/>
      <c r="B117" s="411" t="s">
        <v>14</v>
      </c>
      <c r="C117" s="404">
        <f>50000+97200</f>
        <v>147200</v>
      </c>
      <c r="D117" s="85">
        <v>130840</v>
      </c>
      <c r="E117" s="38">
        <f>50000+228040</f>
        <v>278040</v>
      </c>
      <c r="F117" s="38">
        <f>50000+228040</f>
        <v>278040</v>
      </c>
      <c r="G117" s="412">
        <f t="shared" si="7"/>
        <v>100</v>
      </c>
      <c r="H117" s="30"/>
    </row>
    <row r="118" spans="1:8" ht="18" customHeight="1">
      <c r="A118" s="423"/>
      <c r="B118" s="419" t="s">
        <v>64</v>
      </c>
      <c r="C118" s="420">
        <v>50000</v>
      </c>
      <c r="D118" s="421">
        <v>0</v>
      </c>
      <c r="E118" s="39">
        <v>50000</v>
      </c>
      <c r="F118" s="39">
        <v>50000</v>
      </c>
      <c r="G118" s="413">
        <f t="shared" si="7"/>
        <v>100</v>
      </c>
      <c r="H118" s="30"/>
    </row>
    <row r="119" spans="1:8" ht="32.25" customHeight="1">
      <c r="A119" s="422" t="s">
        <v>156</v>
      </c>
      <c r="B119" s="411" t="s">
        <v>157</v>
      </c>
      <c r="C119" s="404">
        <f>C120</f>
        <v>79441</v>
      </c>
      <c r="D119" s="85">
        <f>D120</f>
        <v>0</v>
      </c>
      <c r="E119" s="405">
        <f>E120</f>
        <v>79441</v>
      </c>
      <c r="F119" s="405">
        <f>F120</f>
        <v>51016</v>
      </c>
      <c r="G119" s="406">
        <f t="shared" si="7"/>
        <v>64.21872836444658</v>
      </c>
      <c r="H119" s="30"/>
    </row>
    <row r="120" spans="1:8" s="24" customFormat="1" ht="18" customHeight="1">
      <c r="A120" s="407" t="s">
        <v>158</v>
      </c>
      <c r="B120" s="36" t="s">
        <v>23</v>
      </c>
      <c r="C120" s="408">
        <f>C121+C122</f>
        <v>79441</v>
      </c>
      <c r="D120" s="87">
        <f>D121+D122</f>
        <v>0</v>
      </c>
      <c r="E120" s="37">
        <f>E121+E122</f>
        <v>79441</v>
      </c>
      <c r="F120" s="37">
        <f>F121+F122</f>
        <v>51016</v>
      </c>
      <c r="G120" s="409">
        <f t="shared" si="7"/>
        <v>64.21872836444658</v>
      </c>
      <c r="H120" s="80"/>
    </row>
    <row r="121" spans="1:8" ht="18" customHeight="1">
      <c r="A121" s="410"/>
      <c r="B121" s="411" t="s">
        <v>16</v>
      </c>
      <c r="C121" s="404">
        <f>19441+20000</f>
        <v>39441</v>
      </c>
      <c r="D121" s="85">
        <v>0</v>
      </c>
      <c r="E121" s="38">
        <f>23441+16000</f>
        <v>39441</v>
      </c>
      <c r="F121" s="38">
        <f>9845+7209</f>
        <v>17054</v>
      </c>
      <c r="G121" s="412">
        <f t="shared" si="7"/>
        <v>43.23926878121752</v>
      </c>
      <c r="H121" s="30"/>
    </row>
    <row r="122" spans="1:8" ht="18" customHeight="1">
      <c r="A122" s="423"/>
      <c r="B122" s="419" t="s">
        <v>63</v>
      </c>
      <c r="C122" s="420">
        <v>40000</v>
      </c>
      <c r="D122" s="421">
        <v>0</v>
      </c>
      <c r="E122" s="39">
        <v>40000</v>
      </c>
      <c r="F122" s="39">
        <v>33962</v>
      </c>
      <c r="G122" s="413">
        <f t="shared" si="7"/>
        <v>84.905</v>
      </c>
      <c r="H122" s="30"/>
    </row>
    <row r="123" spans="1:8" ht="23.25" customHeight="1">
      <c r="A123" s="402" t="s">
        <v>154</v>
      </c>
      <c r="B123" s="403" t="s">
        <v>48</v>
      </c>
      <c r="C123" s="424">
        <f>C124+C127</f>
        <v>968121</v>
      </c>
      <c r="D123" s="405">
        <f>D124+D127</f>
        <v>75408</v>
      </c>
      <c r="E123" s="405">
        <f>E124+E127</f>
        <v>1043529</v>
      </c>
      <c r="F123" s="405">
        <f>F124+F127</f>
        <v>891668</v>
      </c>
      <c r="G123" s="406">
        <f t="shared" si="7"/>
        <v>85.4473617886997</v>
      </c>
      <c r="H123" s="30"/>
    </row>
    <row r="124" spans="1:8" s="24" customFormat="1" ht="19.5" customHeight="1">
      <c r="A124" s="407">
        <v>85401</v>
      </c>
      <c r="B124" s="36" t="s">
        <v>49</v>
      </c>
      <c r="C124" s="426">
        <f>C125</f>
        <v>968121</v>
      </c>
      <c r="D124" s="37">
        <f>D125</f>
        <v>-18000</v>
      </c>
      <c r="E124" s="37">
        <f>E125</f>
        <v>950121</v>
      </c>
      <c r="F124" s="37">
        <f>F125</f>
        <v>802490</v>
      </c>
      <c r="G124" s="409">
        <f t="shared" si="7"/>
        <v>84.46187380344188</v>
      </c>
      <c r="H124" s="80"/>
    </row>
    <row r="125" spans="1:8" ht="18" customHeight="1">
      <c r="A125" s="410"/>
      <c r="B125" s="411" t="s">
        <v>14</v>
      </c>
      <c r="C125" s="428">
        <f>3633+478799+40244+91604+12516+9630+292150+6150+33395</f>
        <v>968121</v>
      </c>
      <c r="D125" s="38">
        <v>-18000</v>
      </c>
      <c r="E125" s="38">
        <f>2933+450325+38329+83603+11452+10330+299562+21218+32369</f>
        <v>950121</v>
      </c>
      <c r="F125" s="38">
        <f>2518+443198+38327+82109+11284+10321+172131+10233+32369</f>
        <v>802490</v>
      </c>
      <c r="G125" s="412">
        <f t="shared" si="7"/>
        <v>84.46187380344188</v>
      </c>
      <c r="H125" s="30"/>
    </row>
    <row r="126" spans="1:8" ht="18" customHeight="1">
      <c r="A126" s="410"/>
      <c r="B126" s="411" t="s">
        <v>15</v>
      </c>
      <c r="C126" s="428">
        <f>478799+40244+91604+12516</f>
        <v>623163</v>
      </c>
      <c r="D126" s="38">
        <v>-39454</v>
      </c>
      <c r="E126" s="38">
        <f>450325+38329+83603+11452</f>
        <v>583709</v>
      </c>
      <c r="F126" s="38">
        <f>443198+38326+82109+11193</f>
        <v>574826</v>
      </c>
      <c r="G126" s="412">
        <f t="shared" si="7"/>
        <v>98.47818005204648</v>
      </c>
      <c r="H126" s="30"/>
    </row>
    <row r="127" spans="1:8" s="24" customFormat="1" ht="18" customHeight="1">
      <c r="A127" s="417" t="s">
        <v>199</v>
      </c>
      <c r="B127" s="36" t="s">
        <v>228</v>
      </c>
      <c r="C127" s="408">
        <f>C128</f>
        <v>0</v>
      </c>
      <c r="D127" s="87">
        <f>D128</f>
        <v>93408</v>
      </c>
      <c r="E127" s="37">
        <f>E128</f>
        <v>93408</v>
      </c>
      <c r="F127" s="37">
        <f>F128</f>
        <v>89178</v>
      </c>
      <c r="G127" s="427">
        <f t="shared" si="7"/>
        <v>95.47147995889003</v>
      </c>
      <c r="H127" s="80"/>
    </row>
    <row r="128" spans="1:8" ht="18" customHeight="1">
      <c r="A128" s="422"/>
      <c r="B128" s="411" t="s">
        <v>229</v>
      </c>
      <c r="C128" s="404">
        <v>0</v>
      </c>
      <c r="D128" s="85">
        <v>93408</v>
      </c>
      <c r="E128" s="38">
        <v>93408</v>
      </c>
      <c r="F128" s="38">
        <v>89178</v>
      </c>
      <c r="G128" s="412">
        <f t="shared" si="7"/>
        <v>95.47147995889003</v>
      </c>
      <c r="H128" s="30"/>
    </row>
    <row r="129" spans="1:8" ht="35.25" customHeight="1">
      <c r="A129" s="414">
        <v>900</v>
      </c>
      <c r="B129" s="403" t="s">
        <v>9</v>
      </c>
      <c r="C129" s="415">
        <f>C130+C132+C134+C136+C139</f>
        <v>1841000</v>
      </c>
      <c r="D129" s="416">
        <f>D130+D132+D134+D136+D139</f>
        <v>227348</v>
      </c>
      <c r="E129" s="405">
        <f>E130+E132+E134+E136+E139</f>
        <v>2068348</v>
      </c>
      <c r="F129" s="405">
        <f>F130+F132+F134+F136+F139</f>
        <v>1961194</v>
      </c>
      <c r="G129" s="406">
        <f t="shared" si="7"/>
        <v>94.81934374679696</v>
      </c>
      <c r="H129" s="30"/>
    </row>
    <row r="130" spans="1:8" s="24" customFormat="1" ht="18.75" customHeight="1">
      <c r="A130" s="417">
        <v>90001</v>
      </c>
      <c r="B130" s="36" t="s">
        <v>50</v>
      </c>
      <c r="C130" s="408">
        <f>C131</f>
        <v>810000</v>
      </c>
      <c r="D130" s="87">
        <f>D131</f>
        <v>150000</v>
      </c>
      <c r="E130" s="37">
        <f>E131</f>
        <v>960000</v>
      </c>
      <c r="F130" s="37">
        <f>F131</f>
        <v>862086</v>
      </c>
      <c r="G130" s="409">
        <f t="shared" si="7"/>
        <v>89.800625</v>
      </c>
      <c r="H130" s="80"/>
    </row>
    <row r="131" spans="1:8" ht="18.75" customHeight="1">
      <c r="A131" s="422"/>
      <c r="B131" s="411" t="s">
        <v>21</v>
      </c>
      <c r="C131" s="404">
        <v>810000</v>
      </c>
      <c r="D131" s="85">
        <v>150000</v>
      </c>
      <c r="E131" s="38">
        <v>960000</v>
      </c>
      <c r="F131" s="38">
        <v>862086</v>
      </c>
      <c r="G131" s="412">
        <f t="shared" si="7"/>
        <v>89.800625</v>
      </c>
      <c r="H131" s="30"/>
    </row>
    <row r="132" spans="1:8" s="24" customFormat="1" ht="18" customHeight="1">
      <c r="A132" s="417" t="s">
        <v>261</v>
      </c>
      <c r="B132" s="36" t="s">
        <v>51</v>
      </c>
      <c r="C132" s="408">
        <f>C133</f>
        <v>231000</v>
      </c>
      <c r="D132" s="87">
        <f>D133</f>
        <v>35247</v>
      </c>
      <c r="E132" s="37">
        <f>E133</f>
        <v>266247</v>
      </c>
      <c r="F132" s="37">
        <f>F133</f>
        <v>264808</v>
      </c>
      <c r="G132" s="409">
        <f t="shared" si="7"/>
        <v>99.4595244265663</v>
      </c>
      <c r="H132" s="80"/>
    </row>
    <row r="133" spans="1:8" ht="18" customHeight="1">
      <c r="A133" s="418"/>
      <c r="B133" s="419" t="s">
        <v>16</v>
      </c>
      <c r="C133" s="420">
        <f>1000+230000</f>
        <v>231000</v>
      </c>
      <c r="D133" s="421">
        <v>35247</v>
      </c>
      <c r="E133" s="39">
        <f>1000+265247</f>
        <v>266247</v>
      </c>
      <c r="F133" s="39">
        <f>655+264153</f>
        <v>264808</v>
      </c>
      <c r="G133" s="413">
        <f t="shared" si="7"/>
        <v>99.4595244265663</v>
      </c>
      <c r="H133" s="30"/>
    </row>
    <row r="134" spans="1:8" s="24" customFormat="1" ht="16.5" customHeight="1">
      <c r="A134" s="443">
        <v>90004</v>
      </c>
      <c r="B134" s="444" t="s">
        <v>52</v>
      </c>
      <c r="C134" s="448">
        <f>C135</f>
        <v>40000</v>
      </c>
      <c r="D134" s="159">
        <f>D135</f>
        <v>-7400</v>
      </c>
      <c r="E134" s="159">
        <f>E135</f>
        <v>32600</v>
      </c>
      <c r="F134" s="159">
        <f>F135</f>
        <v>32481</v>
      </c>
      <c r="G134" s="449">
        <f t="shared" si="7"/>
        <v>99.63496932515338</v>
      </c>
      <c r="H134" s="80"/>
    </row>
    <row r="135" spans="1:8" ht="15.75" customHeight="1">
      <c r="A135" s="410"/>
      <c r="B135" s="411" t="s">
        <v>16</v>
      </c>
      <c r="C135" s="428">
        <f>10000+30000</f>
        <v>40000</v>
      </c>
      <c r="D135" s="450">
        <v>-7400</v>
      </c>
      <c r="E135" s="38">
        <f>10500+22100</f>
        <v>32600</v>
      </c>
      <c r="F135" s="38">
        <f>10491+21990</f>
        <v>32481</v>
      </c>
      <c r="G135" s="429">
        <f aca="true" t="shared" si="8" ref="G135:G161">F135*100/E135</f>
        <v>99.63496932515338</v>
      </c>
      <c r="H135" s="30"/>
    </row>
    <row r="136" spans="1:8" s="24" customFormat="1" ht="16.5" customHeight="1">
      <c r="A136" s="407">
        <v>90015</v>
      </c>
      <c r="B136" s="36" t="s">
        <v>53</v>
      </c>
      <c r="C136" s="426">
        <f>C137+C138</f>
        <v>676000</v>
      </c>
      <c r="D136" s="37">
        <f>D137+D138</f>
        <v>7800</v>
      </c>
      <c r="E136" s="37">
        <f>E137+E138</f>
        <v>683800</v>
      </c>
      <c r="F136" s="37">
        <f>F137+F138</f>
        <v>682899</v>
      </c>
      <c r="G136" s="427">
        <f t="shared" si="8"/>
        <v>99.86823632641124</v>
      </c>
      <c r="H136" s="80"/>
    </row>
    <row r="137" spans="1:8" ht="15.75" customHeight="1">
      <c r="A137" s="410"/>
      <c r="B137" s="411" t="s">
        <v>16</v>
      </c>
      <c r="C137" s="428">
        <f>450000+30000+156000</f>
        <v>636000</v>
      </c>
      <c r="D137" s="38">
        <v>-21700</v>
      </c>
      <c r="E137" s="38">
        <f>433000+31000+150300</f>
        <v>614300</v>
      </c>
      <c r="F137" s="38">
        <f>432980+30650+150228</f>
        <v>613858</v>
      </c>
      <c r="G137" s="429">
        <f t="shared" si="8"/>
        <v>99.92804818492593</v>
      </c>
      <c r="H137" s="30"/>
    </row>
    <row r="138" spans="1:8" ht="18" customHeight="1">
      <c r="A138" s="410"/>
      <c r="B138" s="411" t="s">
        <v>63</v>
      </c>
      <c r="C138" s="428">
        <v>40000</v>
      </c>
      <c r="D138" s="38">
        <v>29500</v>
      </c>
      <c r="E138" s="38">
        <v>69500</v>
      </c>
      <c r="F138" s="38">
        <v>69041</v>
      </c>
      <c r="G138" s="429">
        <f t="shared" si="8"/>
        <v>99.33956834532374</v>
      </c>
      <c r="H138" s="30"/>
    </row>
    <row r="139" spans="1:8" s="24" customFormat="1" ht="16.5" customHeight="1">
      <c r="A139" s="407">
        <v>90095</v>
      </c>
      <c r="B139" s="36" t="s">
        <v>23</v>
      </c>
      <c r="C139" s="426">
        <f>C140+C141</f>
        <v>84000</v>
      </c>
      <c r="D139" s="37">
        <f>D140+D141</f>
        <v>41701</v>
      </c>
      <c r="E139" s="37">
        <f>E140+E141</f>
        <v>125701</v>
      </c>
      <c r="F139" s="37">
        <f>F140+F141</f>
        <v>118920</v>
      </c>
      <c r="G139" s="427">
        <f t="shared" si="8"/>
        <v>94.60545262169752</v>
      </c>
      <c r="H139" s="80"/>
    </row>
    <row r="140" spans="1:8" ht="15.75" customHeight="1">
      <c r="A140" s="410"/>
      <c r="B140" s="411" t="s">
        <v>16</v>
      </c>
      <c r="C140" s="428">
        <f>16000+63000</f>
        <v>79000</v>
      </c>
      <c r="D140" s="38">
        <v>41701</v>
      </c>
      <c r="E140" s="38">
        <f>100+20780+99821</f>
        <v>120701</v>
      </c>
      <c r="F140" s="38">
        <f>59+15554+99807</f>
        <v>115420</v>
      </c>
      <c r="G140" s="429">
        <f t="shared" si="8"/>
        <v>95.6247255615115</v>
      </c>
      <c r="H140" s="30"/>
    </row>
    <row r="141" spans="1:8" ht="16.5" customHeight="1">
      <c r="A141" s="423"/>
      <c r="B141" s="419" t="s">
        <v>63</v>
      </c>
      <c r="C141" s="436">
        <v>5000</v>
      </c>
      <c r="D141" s="39">
        <v>0</v>
      </c>
      <c r="E141" s="39">
        <v>5000</v>
      </c>
      <c r="F141" s="39">
        <v>3500</v>
      </c>
      <c r="G141" s="442">
        <f t="shared" si="8"/>
        <v>70</v>
      </c>
      <c r="H141" s="30"/>
    </row>
    <row r="142" spans="1:8" ht="28.5" customHeight="1">
      <c r="A142" s="414" t="s">
        <v>230</v>
      </c>
      <c r="B142" s="403" t="s">
        <v>54</v>
      </c>
      <c r="C142" s="415">
        <f>C143+C146+C149</f>
        <v>1819500</v>
      </c>
      <c r="D142" s="416">
        <f>D143+D146+D149</f>
        <v>17500</v>
      </c>
      <c r="E142" s="405">
        <f>E143+E146+E149</f>
        <v>1837000</v>
      </c>
      <c r="F142" s="405">
        <f>F143+F146+F149</f>
        <v>1822599</v>
      </c>
      <c r="G142" s="406">
        <f t="shared" si="8"/>
        <v>99.21605879150789</v>
      </c>
      <c r="H142" s="30"/>
    </row>
    <row r="143" spans="1:8" s="24" customFormat="1" ht="16.5" customHeight="1">
      <c r="A143" s="417">
        <v>92105</v>
      </c>
      <c r="B143" s="36" t="s">
        <v>155</v>
      </c>
      <c r="C143" s="408">
        <f>C144</f>
        <v>139500</v>
      </c>
      <c r="D143" s="87">
        <f>D144</f>
        <v>0</v>
      </c>
      <c r="E143" s="37">
        <f>E144</f>
        <v>139500</v>
      </c>
      <c r="F143" s="37">
        <f>F144</f>
        <v>125099</v>
      </c>
      <c r="G143" s="409">
        <f t="shared" si="8"/>
        <v>89.67670250896057</v>
      </c>
      <c r="H143" s="80"/>
    </row>
    <row r="144" spans="1:8" ht="16.5" customHeight="1">
      <c r="A144" s="422"/>
      <c r="B144" s="411" t="s">
        <v>14</v>
      </c>
      <c r="C144" s="404">
        <f>10000+5000+20000+4500+100000</f>
        <v>139500</v>
      </c>
      <c r="D144" s="85">
        <v>0</v>
      </c>
      <c r="E144" s="38">
        <f>10000+5000+7000+4500+113000</f>
        <v>139500</v>
      </c>
      <c r="F144" s="38">
        <f>8500+4738+1192+110669</f>
        <v>125099</v>
      </c>
      <c r="G144" s="412">
        <f t="shared" si="8"/>
        <v>89.67670250896057</v>
      </c>
      <c r="H144" s="30"/>
    </row>
    <row r="145" spans="1:8" ht="14.25" customHeight="1">
      <c r="A145" s="422"/>
      <c r="B145" s="411" t="s">
        <v>64</v>
      </c>
      <c r="C145" s="404">
        <v>10000</v>
      </c>
      <c r="D145" s="85">
        <v>0</v>
      </c>
      <c r="E145" s="38">
        <v>10000</v>
      </c>
      <c r="F145" s="38">
        <v>8500</v>
      </c>
      <c r="G145" s="412">
        <f t="shared" si="8"/>
        <v>85</v>
      </c>
      <c r="H145" s="30"/>
    </row>
    <row r="146" spans="1:8" s="24" customFormat="1" ht="16.5" customHeight="1">
      <c r="A146" s="417">
        <v>92109</v>
      </c>
      <c r="B146" s="36" t="s">
        <v>55</v>
      </c>
      <c r="C146" s="408">
        <f>C147</f>
        <v>990000</v>
      </c>
      <c r="D146" s="87">
        <f>D147</f>
        <v>0</v>
      </c>
      <c r="E146" s="37">
        <f>E147</f>
        <v>990000</v>
      </c>
      <c r="F146" s="37">
        <f>F147</f>
        <v>990000</v>
      </c>
      <c r="G146" s="409">
        <f t="shared" si="8"/>
        <v>100</v>
      </c>
      <c r="H146" s="80"/>
    </row>
    <row r="147" spans="1:8" ht="15" customHeight="1">
      <c r="A147" s="422"/>
      <c r="B147" s="411" t="s">
        <v>14</v>
      </c>
      <c r="C147" s="404">
        <f>990000</f>
        <v>990000</v>
      </c>
      <c r="D147" s="85">
        <v>0</v>
      </c>
      <c r="E147" s="38">
        <v>990000</v>
      </c>
      <c r="F147" s="38">
        <v>990000</v>
      </c>
      <c r="G147" s="412">
        <f t="shared" si="8"/>
        <v>100</v>
      </c>
      <c r="H147" s="30"/>
    </row>
    <row r="148" spans="1:8" ht="15" customHeight="1">
      <c r="A148" s="422"/>
      <c r="B148" s="411" t="s">
        <v>64</v>
      </c>
      <c r="C148" s="404">
        <v>990000</v>
      </c>
      <c r="D148" s="85">
        <v>0</v>
      </c>
      <c r="E148" s="38">
        <v>990000</v>
      </c>
      <c r="F148" s="38">
        <v>990000</v>
      </c>
      <c r="G148" s="412">
        <f t="shared" si="8"/>
        <v>100</v>
      </c>
      <c r="H148" s="30"/>
    </row>
    <row r="149" spans="1:8" s="24" customFormat="1" ht="16.5" customHeight="1">
      <c r="A149" s="417">
        <v>92116</v>
      </c>
      <c r="B149" s="36" t="s">
        <v>56</v>
      </c>
      <c r="C149" s="408">
        <f>C150</f>
        <v>690000</v>
      </c>
      <c r="D149" s="87">
        <f>D150</f>
        <v>17500</v>
      </c>
      <c r="E149" s="37">
        <f>E150</f>
        <v>707500</v>
      </c>
      <c r="F149" s="37">
        <f>F150</f>
        <v>707500</v>
      </c>
      <c r="G149" s="409">
        <f t="shared" si="8"/>
        <v>100</v>
      </c>
      <c r="H149" s="80"/>
    </row>
    <row r="150" spans="1:8" ht="15" customHeight="1">
      <c r="A150" s="422"/>
      <c r="B150" s="411" t="s">
        <v>14</v>
      </c>
      <c r="C150" s="404">
        <v>690000</v>
      </c>
      <c r="D150" s="85">
        <v>17500</v>
      </c>
      <c r="E150" s="38">
        <v>707500</v>
      </c>
      <c r="F150" s="38">
        <v>707500</v>
      </c>
      <c r="G150" s="412">
        <f t="shared" si="8"/>
        <v>100</v>
      </c>
      <c r="H150" s="30"/>
    </row>
    <row r="151" spans="1:8" ht="15.75" customHeight="1">
      <c r="A151" s="418"/>
      <c r="B151" s="419" t="s">
        <v>64</v>
      </c>
      <c r="C151" s="420">
        <v>690000</v>
      </c>
      <c r="D151" s="421">
        <v>17500</v>
      </c>
      <c r="E151" s="39">
        <v>707500</v>
      </c>
      <c r="F151" s="39">
        <v>707500</v>
      </c>
      <c r="G151" s="413">
        <f t="shared" si="8"/>
        <v>100</v>
      </c>
      <c r="H151" s="30"/>
    </row>
    <row r="152" spans="1:8" ht="15.75" customHeight="1">
      <c r="A152" s="402">
        <v>926</v>
      </c>
      <c r="B152" s="403" t="s">
        <v>10</v>
      </c>
      <c r="C152" s="415">
        <f>C153+C156+C159</f>
        <v>2330199</v>
      </c>
      <c r="D152" s="416">
        <f>D153+D156+D159</f>
        <v>9000</v>
      </c>
      <c r="E152" s="405">
        <f>E153+E156+E159</f>
        <v>2339199</v>
      </c>
      <c r="F152" s="405">
        <f>F153+F156+F159</f>
        <v>2312696</v>
      </c>
      <c r="G152" s="406">
        <f t="shared" si="8"/>
        <v>98.86700532960214</v>
      </c>
      <c r="H152" s="30"/>
    </row>
    <row r="153" spans="1:8" s="24" customFormat="1" ht="16.5" customHeight="1">
      <c r="A153" s="407">
        <v>92604</v>
      </c>
      <c r="B153" s="36" t="s">
        <v>57</v>
      </c>
      <c r="C153" s="408">
        <f>C154</f>
        <v>770199</v>
      </c>
      <c r="D153" s="87">
        <f>D154</f>
        <v>-72000</v>
      </c>
      <c r="E153" s="37">
        <f>E154</f>
        <v>698199</v>
      </c>
      <c r="F153" s="37">
        <f>F154</f>
        <v>668965</v>
      </c>
      <c r="G153" s="409">
        <f t="shared" si="8"/>
        <v>95.81294158255741</v>
      </c>
      <c r="H153" s="80"/>
    </row>
    <row r="154" spans="1:8" ht="14.25" customHeight="1">
      <c r="A154" s="410"/>
      <c r="B154" s="411" t="s">
        <v>14</v>
      </c>
      <c r="C154" s="404">
        <f>7046+221490+10299+41095+5672+109255+237264+79124+2000+10120+7834+39000</f>
        <v>770199</v>
      </c>
      <c r="D154" s="85">
        <v>-72000</v>
      </c>
      <c r="E154" s="38">
        <f>7046+211495+10307+39055+5421+57462+208274+124000+1500+3320+8319+22000</f>
        <v>698199</v>
      </c>
      <c r="F154" s="38">
        <f>6049+211494+10307+38355+5302+57089+183547+122241+1500+3081+8310+21687+3</f>
        <v>668965</v>
      </c>
      <c r="G154" s="412">
        <f t="shared" si="8"/>
        <v>95.81294158255741</v>
      </c>
      <c r="H154" s="30"/>
    </row>
    <row r="155" spans="1:8" ht="15.75" customHeight="1">
      <c r="A155" s="410"/>
      <c r="B155" s="411" t="s">
        <v>15</v>
      </c>
      <c r="C155" s="404">
        <f>221490+10299+41095+5672</f>
        <v>278556</v>
      </c>
      <c r="D155" s="85">
        <v>-12278</v>
      </c>
      <c r="E155" s="38">
        <f>211495+10307+39055+5421</f>
        <v>266278</v>
      </c>
      <c r="F155" s="38">
        <f>211494+10307+38355+5302</f>
        <v>265458</v>
      </c>
      <c r="G155" s="412">
        <f t="shared" si="8"/>
        <v>99.69205116457236</v>
      </c>
      <c r="H155" s="30"/>
    </row>
    <row r="156" spans="1:8" s="24" customFormat="1" ht="16.5" customHeight="1">
      <c r="A156" s="407">
        <v>92605</v>
      </c>
      <c r="B156" s="36" t="s">
        <v>58</v>
      </c>
      <c r="C156" s="408">
        <f>C157</f>
        <v>40000</v>
      </c>
      <c r="D156" s="87">
        <f>D157</f>
        <v>11000</v>
      </c>
      <c r="E156" s="37">
        <f>E157</f>
        <v>51000</v>
      </c>
      <c r="F156" s="37">
        <f>F157</f>
        <v>50765</v>
      </c>
      <c r="G156" s="409">
        <f t="shared" si="8"/>
        <v>99.53921568627452</v>
      </c>
      <c r="H156" s="80"/>
    </row>
    <row r="157" spans="1:8" ht="16.5" customHeight="1">
      <c r="A157" s="410"/>
      <c r="B157" s="411" t="s">
        <v>14</v>
      </c>
      <c r="C157" s="404">
        <f>35000+5000</f>
        <v>40000</v>
      </c>
      <c r="D157" s="85">
        <v>11000</v>
      </c>
      <c r="E157" s="38">
        <f>35000+16000</f>
        <v>51000</v>
      </c>
      <c r="F157" s="38">
        <f>35000+15765</f>
        <v>50765</v>
      </c>
      <c r="G157" s="412">
        <f t="shared" si="8"/>
        <v>99.53921568627452</v>
      </c>
      <c r="H157" s="30"/>
    </row>
    <row r="158" spans="1:8" s="40" customFormat="1" ht="13.5" customHeight="1">
      <c r="A158" s="410"/>
      <c r="B158" s="411" t="s">
        <v>64</v>
      </c>
      <c r="C158" s="404">
        <v>35000</v>
      </c>
      <c r="D158" s="85">
        <v>0</v>
      </c>
      <c r="E158" s="38">
        <v>35000</v>
      </c>
      <c r="F158" s="38">
        <v>35000</v>
      </c>
      <c r="G158" s="412">
        <f t="shared" si="8"/>
        <v>100</v>
      </c>
      <c r="H158" s="30"/>
    </row>
    <row r="159" spans="1:8" s="24" customFormat="1" ht="16.5" customHeight="1">
      <c r="A159" s="407">
        <v>92695</v>
      </c>
      <c r="B159" s="36" t="s">
        <v>23</v>
      </c>
      <c r="C159" s="408">
        <f>C160</f>
        <v>1520000</v>
      </c>
      <c r="D159" s="87">
        <f>D160</f>
        <v>70000</v>
      </c>
      <c r="E159" s="37">
        <f>E160</f>
        <v>1590000</v>
      </c>
      <c r="F159" s="37">
        <f>F160</f>
        <v>1592966</v>
      </c>
      <c r="G159" s="409">
        <f t="shared" si="8"/>
        <v>100.18654088050314</v>
      </c>
      <c r="H159" s="80"/>
    </row>
    <row r="160" spans="1:8" ht="14.25" customHeight="1">
      <c r="A160" s="423"/>
      <c r="B160" s="419" t="s">
        <v>21</v>
      </c>
      <c r="C160" s="420">
        <v>1520000</v>
      </c>
      <c r="D160" s="421">
        <v>70000</v>
      </c>
      <c r="E160" s="39">
        <v>1590000</v>
      </c>
      <c r="F160" s="39">
        <v>1592966</v>
      </c>
      <c r="G160" s="413">
        <f t="shared" si="8"/>
        <v>100.18654088050314</v>
      </c>
      <c r="H160" s="30"/>
    </row>
    <row r="161" spans="1:7" s="129" customFormat="1" ht="22.5" customHeight="1">
      <c r="A161" s="451" t="s">
        <v>309</v>
      </c>
      <c r="B161" s="452"/>
      <c r="C161" s="455">
        <f>C5+C10+C13+C20+C24+C29+C41+C48+C58+C62+C66+C70+C91+C103+C119+C123+C129+C142+C152</f>
        <v>30779206</v>
      </c>
      <c r="D161" s="456">
        <f>D5+D10+D13+D20+D24+D29+D41+D48+D58+D62+D66+D70+D91+D103+D119+D123+D129+D142+D152</f>
        <v>4998600</v>
      </c>
      <c r="E161" s="457">
        <f>E5+E10+E13+E20+E24+E29+E41+E48+E58+E62+E66+E70+E91+E103+E119+E123+E129+E142+E152</f>
        <v>35777806</v>
      </c>
      <c r="F161" s="458">
        <f>F5+F10+F13+F20+F24+F29+F41+F48+F58+F62+F66+F70+F91+F103+F119+F123+F129+F142+F152</f>
        <v>33975901</v>
      </c>
      <c r="G161" s="459">
        <f t="shared" si="8"/>
        <v>94.96362353801125</v>
      </c>
    </row>
    <row r="162" spans="1:8" ht="16.5" customHeight="1">
      <c r="A162" s="453"/>
      <c r="C162" s="70"/>
      <c r="D162" s="70"/>
      <c r="H162" s="30"/>
    </row>
    <row r="163" spans="1:8" ht="22.5" customHeight="1">
      <c r="A163" s="453"/>
      <c r="C163" s="70"/>
      <c r="D163" s="70"/>
      <c r="E163" s="70"/>
      <c r="H163" s="30"/>
    </row>
    <row r="164" spans="1:4" ht="12.75">
      <c r="A164" s="453"/>
      <c r="C164" s="70"/>
      <c r="D164" s="70"/>
    </row>
    <row r="165" spans="1:4" ht="12.75">
      <c r="A165" s="453"/>
      <c r="C165" s="70"/>
      <c r="D165" s="70"/>
    </row>
    <row r="166" spans="1:4" ht="12.75">
      <c r="A166" s="453"/>
      <c r="C166" s="70"/>
      <c r="D166" s="70"/>
    </row>
    <row r="167" spans="1:4" ht="12.75">
      <c r="A167" s="453"/>
      <c r="C167" s="70"/>
      <c r="D167" s="70"/>
    </row>
    <row r="168" spans="1:4" ht="12.75">
      <c r="A168" s="453"/>
      <c r="C168" s="70"/>
      <c r="D168" s="70"/>
    </row>
    <row r="169" spans="1:4" ht="12.75">
      <c r="A169" s="453"/>
      <c r="C169" s="70"/>
      <c r="D169" s="70"/>
    </row>
    <row r="170" spans="1:4" ht="12.75">
      <c r="A170" s="453"/>
      <c r="C170" s="70"/>
      <c r="D170" s="70"/>
    </row>
    <row r="171" spans="1:4" ht="12.75">
      <c r="A171" s="453"/>
      <c r="C171" s="70"/>
      <c r="D171" s="70"/>
    </row>
    <row r="172" spans="1:4" ht="12.75">
      <c r="A172" s="453"/>
      <c r="C172" s="70"/>
      <c r="D172" s="70"/>
    </row>
    <row r="173" spans="1:4" ht="12.75">
      <c r="A173" s="453"/>
      <c r="C173" s="70"/>
      <c r="D173" s="70"/>
    </row>
    <row r="174" spans="1:4" ht="12.75">
      <c r="A174" s="453"/>
      <c r="C174" s="70"/>
      <c r="D174" s="70"/>
    </row>
    <row r="175" spans="1:4" ht="12.75">
      <c r="A175" s="453"/>
      <c r="C175" s="70"/>
      <c r="D175" s="70"/>
    </row>
    <row r="176" spans="1:4" ht="12.75">
      <c r="A176" s="453"/>
      <c r="C176" s="70"/>
      <c r="D176" s="70"/>
    </row>
    <row r="177" spans="1:4" ht="12.75">
      <c r="A177" s="453"/>
      <c r="C177" s="70"/>
      <c r="D177" s="70"/>
    </row>
    <row r="178" ht="12.75">
      <c r="A178" s="453"/>
    </row>
    <row r="179" ht="12.75">
      <c r="A179" s="453"/>
    </row>
    <row r="180" ht="12.75">
      <c r="A180" s="454"/>
    </row>
    <row r="181" ht="12.75">
      <c r="A181" s="454"/>
    </row>
    <row r="182" ht="12.75">
      <c r="A182" s="454"/>
    </row>
    <row r="183" ht="12.75">
      <c r="A183" s="454"/>
    </row>
    <row r="184" ht="12.75">
      <c r="A184" s="454"/>
    </row>
    <row r="185" ht="12.75">
      <c r="A185" s="454"/>
    </row>
    <row r="186" ht="12.75">
      <c r="A186" s="454"/>
    </row>
    <row r="187" ht="12.75">
      <c r="A187" s="454"/>
    </row>
    <row r="188" ht="12.75">
      <c r="A188" s="454"/>
    </row>
    <row r="189" ht="12.75">
      <c r="A189" s="454"/>
    </row>
    <row r="190" ht="12.75">
      <c r="A190" s="454"/>
    </row>
    <row r="191" ht="12.75">
      <c r="A191" s="454"/>
    </row>
    <row r="192" ht="12.75">
      <c r="A192" s="454"/>
    </row>
    <row r="193" ht="12.75">
      <c r="A193" s="454"/>
    </row>
    <row r="194" ht="12.75">
      <c r="A194" s="454"/>
    </row>
    <row r="195" ht="12.75">
      <c r="A195" s="454"/>
    </row>
    <row r="196" ht="12.75">
      <c r="A196" s="454"/>
    </row>
    <row r="197" ht="12.75">
      <c r="A197" s="454"/>
    </row>
    <row r="198" ht="12.75">
      <c r="A198" s="454"/>
    </row>
    <row r="199" ht="12.75">
      <c r="A199" s="454"/>
    </row>
    <row r="200" ht="12.75">
      <c r="A200" s="454"/>
    </row>
    <row r="201" ht="12.75">
      <c r="A201" s="454"/>
    </row>
    <row r="202" ht="12.75">
      <c r="A202" s="454"/>
    </row>
    <row r="203" ht="12.75">
      <c r="A203" s="454"/>
    </row>
    <row r="204" ht="12.75">
      <c r="A204" s="454"/>
    </row>
    <row r="205" ht="12.75">
      <c r="A205" s="454"/>
    </row>
    <row r="206" ht="12.75">
      <c r="A206" s="454"/>
    </row>
    <row r="207" ht="12.75">
      <c r="A207" s="454"/>
    </row>
    <row r="208" ht="12.75">
      <c r="A208" s="454"/>
    </row>
    <row r="209" ht="12.75">
      <c r="A209" s="454"/>
    </row>
    <row r="210" ht="12.75">
      <c r="A210" s="454"/>
    </row>
    <row r="211" ht="12.75">
      <c r="A211" s="454"/>
    </row>
    <row r="212" ht="12.75">
      <c r="A212" s="454"/>
    </row>
    <row r="213" ht="12.75">
      <c r="A213" s="454"/>
    </row>
    <row r="214" ht="12.75">
      <c r="A214" s="454"/>
    </row>
    <row r="215" ht="12.75">
      <c r="A215" s="454"/>
    </row>
    <row r="216" ht="12.75">
      <c r="A216" s="454"/>
    </row>
    <row r="217" ht="12.75">
      <c r="A217" s="454"/>
    </row>
    <row r="218" ht="12.75">
      <c r="A218" s="454"/>
    </row>
    <row r="219" ht="12.75">
      <c r="A219" s="454"/>
    </row>
    <row r="220" ht="12.75">
      <c r="A220" s="454"/>
    </row>
    <row r="221" ht="12.75">
      <c r="A221" s="454"/>
    </row>
    <row r="222" ht="12.75">
      <c r="A222" s="454"/>
    </row>
  </sheetData>
  <mergeCells count="9">
    <mergeCell ref="A1:G1"/>
    <mergeCell ref="A161:B161"/>
    <mergeCell ref="A3:A4"/>
    <mergeCell ref="A2:G2"/>
    <mergeCell ref="F3:G3"/>
    <mergeCell ref="B3:B4"/>
    <mergeCell ref="C3:C4"/>
    <mergeCell ref="E3:E4"/>
    <mergeCell ref="D3:D4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:D1"/>
    </sheetView>
  </sheetViews>
  <sheetFormatPr defaultColWidth="9.00390625" defaultRowHeight="12.75"/>
  <cols>
    <col min="1" max="1" width="10.75390625" style="8" customWidth="1"/>
    <col min="2" max="2" width="47.875" style="18" customWidth="1"/>
    <col min="3" max="3" width="13.75390625" style="18" customWidth="1"/>
    <col min="4" max="4" width="12.625" style="19" customWidth="1"/>
  </cols>
  <sheetData>
    <row r="1" spans="1:4" ht="12.75">
      <c r="A1" s="261" t="s">
        <v>393</v>
      </c>
      <c r="B1" s="261"/>
      <c r="C1" s="261"/>
      <c r="D1" s="261"/>
    </row>
    <row r="2" spans="1:4" ht="60" customHeight="1">
      <c r="A2" s="260" t="s">
        <v>139</v>
      </c>
      <c r="B2" s="260"/>
      <c r="C2" s="260"/>
      <c r="D2" s="260"/>
    </row>
    <row r="3" spans="1:9" s="55" customFormat="1" ht="30" customHeight="1">
      <c r="A3" s="31" t="s">
        <v>59</v>
      </c>
      <c r="B3" s="42" t="s">
        <v>0</v>
      </c>
      <c r="C3" s="54" t="s">
        <v>163</v>
      </c>
      <c r="D3" s="41" t="s">
        <v>164</v>
      </c>
      <c r="E3" s="21"/>
      <c r="F3" s="21"/>
      <c r="G3" s="21"/>
      <c r="H3" s="21"/>
      <c r="I3" s="21"/>
    </row>
    <row r="4" spans="1:9" s="8" customFormat="1" ht="30" customHeight="1">
      <c r="A4" s="258" t="s">
        <v>236</v>
      </c>
      <c r="B4" s="258"/>
      <c r="C4" s="258"/>
      <c r="D4" s="258"/>
      <c r="E4" s="12"/>
      <c r="F4" s="12"/>
      <c r="G4" s="12"/>
      <c r="H4" s="12"/>
      <c r="I4" s="12"/>
    </row>
    <row r="5" spans="1:4" ht="21" customHeight="1">
      <c r="A5" s="63">
        <v>750</v>
      </c>
      <c r="B5" s="3" t="s">
        <v>2</v>
      </c>
      <c r="C5" s="15">
        <f>C6</f>
        <v>119102</v>
      </c>
      <c r="D5" s="15">
        <f>D6</f>
        <v>119102</v>
      </c>
    </row>
    <row r="6" spans="1:4" s="24" customFormat="1" ht="18.75" customHeight="1">
      <c r="A6" s="62">
        <v>75011</v>
      </c>
      <c r="B6" s="36" t="s">
        <v>30</v>
      </c>
      <c r="C6" s="37">
        <f>C7</f>
        <v>119102</v>
      </c>
      <c r="D6" s="37">
        <f>D7</f>
        <v>119102</v>
      </c>
    </row>
    <row r="7" spans="1:4" ht="43.5" customHeight="1">
      <c r="A7" s="64"/>
      <c r="B7" s="32" t="s">
        <v>140</v>
      </c>
      <c r="C7" s="16">
        <v>119102</v>
      </c>
      <c r="D7" s="16">
        <v>119102</v>
      </c>
    </row>
    <row r="8" spans="1:4" ht="40.5" customHeight="1">
      <c r="A8" s="63">
        <v>751</v>
      </c>
      <c r="B8" s="90" t="s">
        <v>3</v>
      </c>
      <c r="C8" s="15">
        <f>C9+C11+C13</f>
        <v>77289</v>
      </c>
      <c r="D8" s="15">
        <f>D9+D11+D13</f>
        <v>76484</v>
      </c>
    </row>
    <row r="9" spans="1:4" s="24" customFormat="1" ht="28.5" customHeight="1">
      <c r="A9" s="62">
        <v>75101</v>
      </c>
      <c r="B9" s="89" t="s">
        <v>4</v>
      </c>
      <c r="C9" s="37">
        <f>C10</f>
        <v>2849</v>
      </c>
      <c r="D9" s="37">
        <f>D10</f>
        <v>2849</v>
      </c>
    </row>
    <row r="10" spans="1:4" s="24" customFormat="1" ht="39" customHeight="1">
      <c r="A10" s="62"/>
      <c r="B10" s="91" t="s">
        <v>141</v>
      </c>
      <c r="C10" s="17">
        <v>2849</v>
      </c>
      <c r="D10" s="17">
        <v>2849</v>
      </c>
    </row>
    <row r="11" spans="1:4" s="24" customFormat="1" ht="18.75" customHeight="1">
      <c r="A11" s="62">
        <v>75107</v>
      </c>
      <c r="B11" s="89" t="s">
        <v>266</v>
      </c>
      <c r="C11" s="37">
        <f>C12</f>
        <v>45460</v>
      </c>
      <c r="D11" s="37">
        <f>D12</f>
        <v>45060</v>
      </c>
    </row>
    <row r="12" spans="1:4" s="24" customFormat="1" ht="42.75" customHeight="1">
      <c r="A12" s="62"/>
      <c r="B12" s="91" t="s">
        <v>141</v>
      </c>
      <c r="C12" s="17">
        <v>45460</v>
      </c>
      <c r="D12" s="17">
        <v>45060</v>
      </c>
    </row>
    <row r="13" spans="1:4" s="24" customFormat="1" ht="17.25" customHeight="1">
      <c r="A13" s="62">
        <v>75108</v>
      </c>
      <c r="B13" s="89" t="s">
        <v>260</v>
      </c>
      <c r="C13" s="28">
        <f>C14</f>
        <v>28980</v>
      </c>
      <c r="D13" s="28">
        <f>D14</f>
        <v>28575</v>
      </c>
    </row>
    <row r="14" spans="1:4" ht="40.5" customHeight="1">
      <c r="A14" s="64"/>
      <c r="B14" s="92" t="s">
        <v>141</v>
      </c>
      <c r="C14" s="47">
        <v>28980</v>
      </c>
      <c r="D14" s="47">
        <v>28575</v>
      </c>
    </row>
    <row r="15" spans="1:4" ht="29.25" customHeight="1">
      <c r="A15" s="63">
        <v>754</v>
      </c>
      <c r="B15" s="3" t="s">
        <v>5</v>
      </c>
      <c r="C15" s="15">
        <f>C16</f>
        <v>7000</v>
      </c>
      <c r="D15" s="15">
        <f>D16</f>
        <v>7000</v>
      </c>
    </row>
    <row r="16" spans="1:4" s="24" customFormat="1" ht="19.5" customHeight="1">
      <c r="A16" s="62">
        <v>75414</v>
      </c>
      <c r="B16" s="36" t="s">
        <v>6</v>
      </c>
      <c r="C16" s="37">
        <f>C17</f>
        <v>7000</v>
      </c>
      <c r="D16" s="37">
        <f>D17</f>
        <v>7000</v>
      </c>
    </row>
    <row r="17" spans="1:4" ht="39.75" customHeight="1">
      <c r="A17" s="64"/>
      <c r="B17" s="32" t="s">
        <v>142</v>
      </c>
      <c r="C17" s="16">
        <v>7000</v>
      </c>
      <c r="D17" s="16">
        <v>7000</v>
      </c>
    </row>
    <row r="18" spans="1:4" ht="18" customHeight="1">
      <c r="A18" s="63">
        <v>852</v>
      </c>
      <c r="B18" s="3" t="s">
        <v>8</v>
      </c>
      <c r="C18" s="86">
        <f>C19+C22+C24+C26</f>
        <v>2998729</v>
      </c>
      <c r="D18" s="15">
        <f>D19+D22+D24+D26</f>
        <v>2993619</v>
      </c>
    </row>
    <row r="19" spans="1:4" s="24" customFormat="1" ht="32.25" customHeight="1">
      <c r="A19" s="62">
        <v>85212</v>
      </c>
      <c r="B19" s="33" t="s">
        <v>172</v>
      </c>
      <c r="C19" s="87">
        <f>C20+C21</f>
        <v>2601481</v>
      </c>
      <c r="D19" s="37">
        <f>D20+D21</f>
        <v>2598367</v>
      </c>
    </row>
    <row r="20" spans="1:4" s="24" customFormat="1" ht="42" customHeight="1">
      <c r="A20" s="62"/>
      <c r="B20" s="5" t="s">
        <v>141</v>
      </c>
      <c r="C20" s="88">
        <v>2593481</v>
      </c>
      <c r="D20" s="17">
        <v>2590367</v>
      </c>
    </row>
    <row r="21" spans="1:4" s="24" customFormat="1" ht="40.5" customHeight="1">
      <c r="A21" s="62"/>
      <c r="B21" s="5" t="s">
        <v>374</v>
      </c>
      <c r="C21" s="85">
        <v>8000</v>
      </c>
      <c r="D21" s="38">
        <v>8000</v>
      </c>
    </row>
    <row r="22" spans="1:4" s="24" customFormat="1" ht="30.75" customHeight="1">
      <c r="A22" s="62">
        <v>85213</v>
      </c>
      <c r="B22" s="58" t="s">
        <v>18</v>
      </c>
      <c r="C22" s="37">
        <f>C23</f>
        <v>21512</v>
      </c>
      <c r="D22" s="37">
        <f>D23</f>
        <v>21512</v>
      </c>
    </row>
    <row r="23" spans="1:4" ht="45.75" customHeight="1">
      <c r="A23" s="64"/>
      <c r="B23" s="32" t="s">
        <v>141</v>
      </c>
      <c r="C23" s="39">
        <v>21512</v>
      </c>
      <c r="D23" s="39">
        <v>21512</v>
      </c>
    </row>
    <row r="24" spans="1:4" s="24" customFormat="1" ht="24" customHeight="1">
      <c r="A24" s="157">
        <v>85214</v>
      </c>
      <c r="B24" s="158" t="s">
        <v>19</v>
      </c>
      <c r="C24" s="159">
        <f>C25</f>
        <v>233136</v>
      </c>
      <c r="D24" s="159">
        <f>D25</f>
        <v>231145</v>
      </c>
    </row>
    <row r="25" spans="1:4" ht="46.5" customHeight="1">
      <c r="A25" s="60"/>
      <c r="B25" s="5" t="s">
        <v>141</v>
      </c>
      <c r="C25" s="38">
        <v>233136</v>
      </c>
      <c r="D25" s="38">
        <v>231145</v>
      </c>
    </row>
    <row r="26" spans="1:4" s="24" customFormat="1" ht="20.25" customHeight="1">
      <c r="A26" s="62">
        <v>85219</v>
      </c>
      <c r="B26" s="36" t="s">
        <v>20</v>
      </c>
      <c r="C26" s="37">
        <f>C27</f>
        <v>142600</v>
      </c>
      <c r="D26" s="37">
        <f>D27</f>
        <v>142595</v>
      </c>
    </row>
    <row r="27" spans="1:4" ht="46.5" customHeight="1">
      <c r="A27" s="64"/>
      <c r="B27" s="32" t="s">
        <v>141</v>
      </c>
      <c r="C27" s="39">
        <v>142600</v>
      </c>
      <c r="D27" s="39">
        <v>142595</v>
      </c>
    </row>
    <row r="28" spans="1:4" s="129" customFormat="1" ht="26.25" customHeight="1">
      <c r="A28" s="133"/>
      <c r="B28" s="134" t="s">
        <v>143</v>
      </c>
      <c r="C28" s="135">
        <f>C5+C8+C15+C18</f>
        <v>3202120</v>
      </c>
      <c r="D28" s="135">
        <f>D5+D8+D15+D18</f>
        <v>3196205</v>
      </c>
    </row>
    <row r="29" spans="1:4" s="56" customFormat="1" ht="30" customHeight="1">
      <c r="A29" s="259" t="s">
        <v>13</v>
      </c>
      <c r="B29" s="259"/>
      <c r="C29" s="259"/>
      <c r="D29" s="259"/>
    </row>
    <row r="30" spans="1:4" ht="24" customHeight="1">
      <c r="A30" s="63">
        <v>750</v>
      </c>
      <c r="B30" s="57" t="s">
        <v>2</v>
      </c>
      <c r="C30" s="15">
        <f>C31</f>
        <v>119102</v>
      </c>
      <c r="D30" s="15">
        <f>D31</f>
        <v>119102</v>
      </c>
    </row>
    <row r="31" spans="1:4" s="24" customFormat="1" ht="20.25" customHeight="1">
      <c r="A31" s="62">
        <v>75011</v>
      </c>
      <c r="B31" s="65" t="s">
        <v>144</v>
      </c>
      <c r="C31" s="37">
        <f>C32</f>
        <v>119102</v>
      </c>
      <c r="D31" s="37">
        <f>D32</f>
        <v>119102</v>
      </c>
    </row>
    <row r="32" spans="1:4" ht="17.25" customHeight="1">
      <c r="A32" s="60"/>
      <c r="B32" s="59" t="s">
        <v>14</v>
      </c>
      <c r="C32" s="17">
        <f>91975+8517+15600+2210+800</f>
        <v>119102</v>
      </c>
      <c r="D32" s="17">
        <f>91976+8516+15600+2210+800</f>
        <v>119102</v>
      </c>
    </row>
    <row r="33" spans="1:4" ht="17.25" customHeight="1">
      <c r="A33" s="64"/>
      <c r="B33" s="61" t="s">
        <v>15</v>
      </c>
      <c r="C33" s="16">
        <f>91975+8517+15600+2210</f>
        <v>118302</v>
      </c>
      <c r="D33" s="16">
        <f>91976+8516+15600+2210</f>
        <v>118302</v>
      </c>
    </row>
    <row r="34" spans="1:4" s="22" customFormat="1" ht="35.25" customHeight="1">
      <c r="A34" s="63">
        <v>751</v>
      </c>
      <c r="B34" s="3" t="s">
        <v>145</v>
      </c>
      <c r="C34" s="15">
        <f>C35+C37+C40</f>
        <v>77289</v>
      </c>
      <c r="D34" s="15">
        <f>D35+D37+D40</f>
        <v>76484</v>
      </c>
    </row>
    <row r="35" spans="1:4" s="24" customFormat="1" ht="27.75" customHeight="1">
      <c r="A35" s="62">
        <v>75101</v>
      </c>
      <c r="B35" s="36" t="s">
        <v>4</v>
      </c>
      <c r="C35" s="37">
        <f>C36</f>
        <v>2849</v>
      </c>
      <c r="D35" s="37">
        <f>D36</f>
        <v>2849</v>
      </c>
    </row>
    <row r="36" spans="1:4" ht="15.75" customHeight="1">
      <c r="A36" s="60"/>
      <c r="B36" s="5" t="s">
        <v>16</v>
      </c>
      <c r="C36" s="17">
        <f>1500+1349</f>
        <v>2849</v>
      </c>
      <c r="D36" s="17">
        <f>1500+1349</f>
        <v>2849</v>
      </c>
    </row>
    <row r="37" spans="1:4" s="80" customFormat="1" ht="15.75" customHeight="1">
      <c r="A37" s="82">
        <v>75107</v>
      </c>
      <c r="B37" s="33" t="s">
        <v>266</v>
      </c>
      <c r="C37" s="28">
        <f>C38</f>
        <v>45460</v>
      </c>
      <c r="D37" s="28">
        <f>D38</f>
        <v>45060</v>
      </c>
    </row>
    <row r="38" spans="1:4" ht="15.75" customHeight="1">
      <c r="A38" s="60"/>
      <c r="B38" s="5" t="s">
        <v>16</v>
      </c>
      <c r="C38" s="17">
        <f>27720+2280+310+12500+2150+500</f>
        <v>45460</v>
      </c>
      <c r="D38" s="17">
        <f>27450+2154+306+12500+2150+500</f>
        <v>45060</v>
      </c>
    </row>
    <row r="39" spans="1:4" ht="15.75" customHeight="1">
      <c r="A39" s="60"/>
      <c r="B39" s="5" t="s">
        <v>15</v>
      </c>
      <c r="C39" s="17">
        <f>2280+310+12500</f>
        <v>15090</v>
      </c>
      <c r="D39" s="17">
        <f>2154+306+12500</f>
        <v>14960</v>
      </c>
    </row>
    <row r="40" spans="1:4" s="80" customFormat="1" ht="15.75" customHeight="1">
      <c r="A40" s="82">
        <v>75108</v>
      </c>
      <c r="B40" s="33" t="s">
        <v>260</v>
      </c>
      <c r="C40" s="28">
        <f>C41</f>
        <v>28980</v>
      </c>
      <c r="D40" s="28">
        <f>D41</f>
        <v>28575</v>
      </c>
    </row>
    <row r="41" spans="1:4" ht="15.75" customHeight="1">
      <c r="A41" s="60"/>
      <c r="B41" s="5" t="s">
        <v>16</v>
      </c>
      <c r="C41" s="17">
        <f>16830+1015+144+7887+2478+626</f>
        <v>28980</v>
      </c>
      <c r="D41" s="17">
        <f>16425+1015+144+7887+2478+626</f>
        <v>28575</v>
      </c>
    </row>
    <row r="42" spans="1:4" ht="15.75" customHeight="1">
      <c r="A42" s="64"/>
      <c r="B42" s="32" t="s">
        <v>15</v>
      </c>
      <c r="C42" s="16">
        <f>1015+144+7887</f>
        <v>9046</v>
      </c>
      <c r="D42" s="16">
        <f>1015+144+7887</f>
        <v>9046</v>
      </c>
    </row>
    <row r="43" spans="1:4" s="22" customFormat="1" ht="29.25" customHeight="1">
      <c r="A43" s="63">
        <v>754</v>
      </c>
      <c r="B43" s="57" t="s">
        <v>5</v>
      </c>
      <c r="C43" s="15">
        <f>C44</f>
        <v>7000</v>
      </c>
      <c r="D43" s="15">
        <f>D44</f>
        <v>7000</v>
      </c>
    </row>
    <row r="44" spans="1:4" s="24" customFormat="1" ht="17.25" customHeight="1">
      <c r="A44" s="62">
        <v>75414</v>
      </c>
      <c r="B44" s="65" t="s">
        <v>6</v>
      </c>
      <c r="C44" s="37">
        <f>C45</f>
        <v>7000</v>
      </c>
      <c r="D44" s="37">
        <f>D45</f>
        <v>7000</v>
      </c>
    </row>
    <row r="45" spans="1:4" ht="19.5" customHeight="1">
      <c r="A45" s="64"/>
      <c r="B45" s="61" t="s">
        <v>21</v>
      </c>
      <c r="C45" s="16">
        <v>7000</v>
      </c>
      <c r="D45" s="16">
        <v>7000</v>
      </c>
    </row>
    <row r="46" spans="1:4" s="22" customFormat="1" ht="18.75" customHeight="1">
      <c r="A46" s="63">
        <v>852</v>
      </c>
      <c r="B46" s="57" t="s">
        <v>17</v>
      </c>
      <c r="C46" s="15">
        <f>C47+C49+C51+C53</f>
        <v>2998729</v>
      </c>
      <c r="D46" s="15">
        <f>D47+D49+D51+D53</f>
        <v>2993619</v>
      </c>
    </row>
    <row r="47" spans="1:4" s="24" customFormat="1" ht="29.25" customHeight="1">
      <c r="A47" s="62">
        <v>85212</v>
      </c>
      <c r="B47" s="65" t="s">
        <v>172</v>
      </c>
      <c r="C47" s="37">
        <f>C48</f>
        <v>2601481</v>
      </c>
      <c r="D47" s="37">
        <f>D48</f>
        <v>2598367</v>
      </c>
    </row>
    <row r="48" spans="1:4" ht="17.25" customHeight="1">
      <c r="A48" s="60"/>
      <c r="B48" s="59" t="s">
        <v>16</v>
      </c>
      <c r="C48" s="17">
        <f>2497407+47074+45500+3500+8000</f>
        <v>2601481</v>
      </c>
      <c r="D48" s="17">
        <f>2590367+8000</f>
        <v>2598367</v>
      </c>
    </row>
    <row r="49" spans="1:4" s="24" customFormat="1" ht="30" customHeight="1">
      <c r="A49" s="62">
        <v>85213</v>
      </c>
      <c r="B49" s="65" t="s">
        <v>18</v>
      </c>
      <c r="C49" s="37">
        <f>C50</f>
        <v>21512</v>
      </c>
      <c r="D49" s="37">
        <f>D50</f>
        <v>21512</v>
      </c>
    </row>
    <row r="50" spans="1:4" ht="17.25" customHeight="1">
      <c r="A50" s="60"/>
      <c r="B50" s="59" t="s">
        <v>16</v>
      </c>
      <c r="C50" s="17">
        <v>21512</v>
      </c>
      <c r="D50" s="17">
        <v>21512</v>
      </c>
    </row>
    <row r="51" spans="1:4" s="24" customFormat="1" ht="24">
      <c r="A51" s="62">
        <v>85214</v>
      </c>
      <c r="B51" s="65" t="s">
        <v>19</v>
      </c>
      <c r="C51" s="37">
        <f>C52</f>
        <v>233136</v>
      </c>
      <c r="D51" s="37">
        <f>D52</f>
        <v>231145</v>
      </c>
    </row>
    <row r="52" spans="1:4" ht="20.25" customHeight="1">
      <c r="A52" s="60"/>
      <c r="B52" s="59" t="s">
        <v>16</v>
      </c>
      <c r="C52" s="17">
        <v>233136</v>
      </c>
      <c r="D52" s="17">
        <v>231145</v>
      </c>
    </row>
    <row r="53" spans="1:4" s="24" customFormat="1" ht="21.75" customHeight="1">
      <c r="A53" s="62">
        <v>85219</v>
      </c>
      <c r="B53" s="65" t="s">
        <v>20</v>
      </c>
      <c r="C53" s="37">
        <f>C54</f>
        <v>142600</v>
      </c>
      <c r="D53" s="37">
        <f>D54</f>
        <v>142595</v>
      </c>
    </row>
    <row r="54" spans="1:4" ht="20.25" customHeight="1">
      <c r="A54" s="64"/>
      <c r="B54" s="66" t="s">
        <v>16</v>
      </c>
      <c r="C54" s="16">
        <f>990+102388+7121+19207+2655+2101+3000+95+643+4400</f>
        <v>142600</v>
      </c>
      <c r="D54" s="16">
        <f>989+102388+7120+19206+2654+2100+3000+95+643+4400</f>
        <v>142595</v>
      </c>
    </row>
    <row r="55" spans="1:4" s="138" customFormat="1" ht="26.25" customHeight="1">
      <c r="A55" s="136"/>
      <c r="B55" s="137" t="s">
        <v>143</v>
      </c>
      <c r="C55" s="135">
        <f>C30+C34+C43+C46</f>
        <v>3202120</v>
      </c>
      <c r="D55" s="135">
        <f>D30+D34+D43+D46</f>
        <v>3196205</v>
      </c>
    </row>
    <row r="56" ht="12.75">
      <c r="C56" s="25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</sheetData>
  <mergeCells count="4">
    <mergeCell ref="A4:D4"/>
    <mergeCell ref="A29:D29"/>
    <mergeCell ref="A2:D2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24">
      <selection activeCell="C6" sqref="C6"/>
    </sheetView>
  </sheetViews>
  <sheetFormatPr defaultColWidth="9.00390625" defaultRowHeight="12.75"/>
  <cols>
    <col min="1" max="1" width="9.375" style="0" customWidth="1"/>
    <col min="2" max="2" width="47.75390625" style="0" customWidth="1"/>
    <col min="3" max="4" width="12.875" style="0" customWidth="1"/>
  </cols>
  <sheetData>
    <row r="1" spans="1:4" ht="12.75">
      <c r="A1" s="257" t="s">
        <v>394</v>
      </c>
      <c r="B1" s="257"/>
      <c r="C1" s="257"/>
      <c r="D1" s="257"/>
    </row>
    <row r="2" spans="1:4" ht="15.75" customHeight="1">
      <c r="A2" s="262" t="s">
        <v>98</v>
      </c>
      <c r="B2" s="262"/>
      <c r="C2" s="262"/>
      <c r="D2" s="262"/>
    </row>
    <row r="3" spans="1:4" s="23" customFormat="1" ht="18.75" customHeight="1">
      <c r="A3" s="41" t="s">
        <v>168</v>
      </c>
      <c r="B3" s="41" t="s">
        <v>169</v>
      </c>
      <c r="C3" s="41" t="s">
        <v>170</v>
      </c>
      <c r="D3" s="42" t="s">
        <v>171</v>
      </c>
    </row>
    <row r="4" spans="1:4" s="80" customFormat="1" ht="21.75" customHeight="1">
      <c r="A4" s="43">
        <v>400</v>
      </c>
      <c r="B4" s="34" t="s">
        <v>122</v>
      </c>
      <c r="C4" s="44">
        <f>C5+C6</f>
        <v>4031425</v>
      </c>
      <c r="D4" s="130">
        <f>D5+D6</f>
        <v>3156905</v>
      </c>
    </row>
    <row r="5" spans="1:4" ht="18" customHeight="1">
      <c r="A5" s="26"/>
      <c r="B5" s="35" t="s">
        <v>123</v>
      </c>
      <c r="C5" s="45">
        <f>432639+2677338+892447+1</f>
        <v>4002425</v>
      </c>
      <c r="D5" s="17">
        <f>51283+2325295+775098</f>
        <v>3151676</v>
      </c>
    </row>
    <row r="6" spans="1:4" ht="19.5" customHeight="1">
      <c r="A6" s="27"/>
      <c r="B6" s="46" t="s">
        <v>124</v>
      </c>
      <c r="C6" s="47">
        <v>29000</v>
      </c>
      <c r="D6" s="16">
        <v>5229</v>
      </c>
    </row>
    <row r="7" spans="1:4" s="80" customFormat="1" ht="15.75" customHeight="1">
      <c r="A7" s="43">
        <v>600</v>
      </c>
      <c r="B7" s="34" t="s">
        <v>125</v>
      </c>
      <c r="C7" s="44">
        <f>C8+C9+C10+C11</f>
        <v>106640</v>
      </c>
      <c r="D7" s="130">
        <f>D8+D9+D10+D11</f>
        <v>104299</v>
      </c>
    </row>
    <row r="8" spans="1:4" ht="17.25" customHeight="1">
      <c r="A8" s="26"/>
      <c r="B8" s="35" t="s">
        <v>146</v>
      </c>
      <c r="C8" s="45">
        <v>42000</v>
      </c>
      <c r="D8" s="17">
        <v>41188</v>
      </c>
    </row>
    <row r="9" spans="1:4" ht="18" customHeight="1">
      <c r="A9" s="26"/>
      <c r="B9" s="35" t="s">
        <v>311</v>
      </c>
      <c r="C9" s="45">
        <v>60000</v>
      </c>
      <c r="D9" s="17">
        <v>58813</v>
      </c>
    </row>
    <row r="10" spans="1:4" ht="19.5" customHeight="1">
      <c r="A10" s="26"/>
      <c r="B10" s="35" t="s">
        <v>126</v>
      </c>
      <c r="C10" s="45">
        <v>2200</v>
      </c>
      <c r="D10" s="17">
        <v>1860</v>
      </c>
    </row>
    <row r="11" spans="1:4" ht="19.5" customHeight="1">
      <c r="A11" s="26"/>
      <c r="B11" s="35" t="s">
        <v>127</v>
      </c>
      <c r="C11" s="45">
        <v>2440</v>
      </c>
      <c r="D11" s="17">
        <v>2438</v>
      </c>
    </row>
    <row r="12" spans="1:4" s="80" customFormat="1" ht="17.25" customHeight="1">
      <c r="A12" s="43">
        <v>700</v>
      </c>
      <c r="B12" s="34" t="s">
        <v>1</v>
      </c>
      <c r="C12" s="44">
        <f>C13+C14</f>
        <v>148200</v>
      </c>
      <c r="D12" s="130">
        <f>D13+D14</f>
        <v>148183</v>
      </c>
    </row>
    <row r="13" spans="1:4" ht="24" customHeight="1">
      <c r="A13" s="26"/>
      <c r="B13" s="35" t="s">
        <v>162</v>
      </c>
      <c r="C13" s="45">
        <v>128200</v>
      </c>
      <c r="D13" s="17">
        <v>128183</v>
      </c>
    </row>
    <row r="14" spans="1:4" ht="27" customHeight="1">
      <c r="A14" s="26"/>
      <c r="B14" s="35" t="s">
        <v>128</v>
      </c>
      <c r="C14" s="47">
        <v>20000</v>
      </c>
      <c r="D14" s="16">
        <v>20000</v>
      </c>
    </row>
    <row r="15" spans="1:4" s="80" customFormat="1" ht="19.5" customHeight="1">
      <c r="A15" s="43">
        <v>750</v>
      </c>
      <c r="B15" s="34" t="s">
        <v>2</v>
      </c>
      <c r="C15" s="44">
        <f>C16</f>
        <v>28800</v>
      </c>
      <c r="D15" s="130">
        <f>D16</f>
        <v>28755</v>
      </c>
    </row>
    <row r="16" spans="1:4" ht="18.75" customHeight="1">
      <c r="A16" s="27"/>
      <c r="B16" s="46" t="s">
        <v>129</v>
      </c>
      <c r="C16" s="47">
        <v>28800</v>
      </c>
      <c r="D16" s="16">
        <v>28755</v>
      </c>
    </row>
    <row r="17" spans="1:4" s="80" customFormat="1" ht="24" customHeight="1">
      <c r="A17" s="43">
        <v>754</v>
      </c>
      <c r="B17" s="34" t="s">
        <v>5</v>
      </c>
      <c r="C17" s="44">
        <f>C20+C19+C18</f>
        <v>37000</v>
      </c>
      <c r="D17" s="44">
        <f>D20+D19+D18</f>
        <v>27000</v>
      </c>
    </row>
    <row r="18" spans="1:4" s="80" customFormat="1" ht="15" customHeight="1">
      <c r="A18" s="52"/>
      <c r="B18" s="35" t="s">
        <v>399</v>
      </c>
      <c r="C18" s="45">
        <v>20000</v>
      </c>
      <c r="D18" s="17">
        <v>20000</v>
      </c>
    </row>
    <row r="19" spans="1:4" ht="16.5" customHeight="1">
      <c r="A19" s="26"/>
      <c r="B19" s="35" t="s">
        <v>159</v>
      </c>
      <c r="C19" s="45">
        <v>10000</v>
      </c>
      <c r="D19" s="17">
        <v>0</v>
      </c>
    </row>
    <row r="20" spans="1:4" ht="16.5" customHeight="1">
      <c r="A20" s="27"/>
      <c r="B20" s="46" t="s">
        <v>130</v>
      </c>
      <c r="C20" s="47">
        <v>7000</v>
      </c>
      <c r="D20" s="16">
        <v>7000</v>
      </c>
    </row>
    <row r="21" spans="1:4" s="80" customFormat="1" ht="19.5" customHeight="1">
      <c r="A21" s="43">
        <v>851</v>
      </c>
      <c r="B21" s="34" t="s">
        <v>44</v>
      </c>
      <c r="C21" s="44">
        <f>C23+C22</f>
        <v>190000</v>
      </c>
      <c r="D21" s="130">
        <f>D23</f>
        <v>92807</v>
      </c>
    </row>
    <row r="22" spans="1:4" s="80" customFormat="1" ht="17.25" customHeight="1">
      <c r="A22" s="52"/>
      <c r="B22" s="35" t="s">
        <v>400</v>
      </c>
      <c r="C22" s="45">
        <v>20000</v>
      </c>
      <c r="D22" s="17"/>
    </row>
    <row r="23" spans="1:4" ht="19.5" customHeight="1">
      <c r="A23" s="27"/>
      <c r="B23" s="46" t="s">
        <v>131</v>
      </c>
      <c r="C23" s="47">
        <v>170000</v>
      </c>
      <c r="D23" s="16">
        <v>92807</v>
      </c>
    </row>
    <row r="24" spans="1:4" s="80" customFormat="1" ht="17.25" customHeight="1">
      <c r="A24" s="52">
        <v>852</v>
      </c>
      <c r="B24" s="127" t="s">
        <v>8</v>
      </c>
      <c r="C24" s="53">
        <f>C25</f>
        <v>8000</v>
      </c>
      <c r="D24" s="28">
        <f>D25</f>
        <v>8000</v>
      </c>
    </row>
    <row r="25" spans="1:4" ht="19.5" customHeight="1">
      <c r="A25" s="26"/>
      <c r="B25" s="35" t="s">
        <v>307</v>
      </c>
      <c r="C25" s="45">
        <v>8000</v>
      </c>
      <c r="D25" s="17">
        <v>8000</v>
      </c>
    </row>
    <row r="26" spans="1:4" s="80" customFormat="1" ht="23.25" customHeight="1">
      <c r="A26" s="43">
        <v>853</v>
      </c>
      <c r="B26" s="34" t="s">
        <v>157</v>
      </c>
      <c r="C26" s="44">
        <f>C27</f>
        <v>40000</v>
      </c>
      <c r="D26" s="130">
        <f>D27</f>
        <v>33962</v>
      </c>
    </row>
    <row r="27" spans="1:4" ht="25.5" customHeight="1">
      <c r="A27" s="27"/>
      <c r="B27" s="46" t="s">
        <v>160</v>
      </c>
      <c r="C27" s="47">
        <v>40000</v>
      </c>
      <c r="D27" s="16">
        <v>33962</v>
      </c>
    </row>
    <row r="28" spans="1:4" s="80" customFormat="1" ht="16.5" customHeight="1">
      <c r="A28" s="43">
        <v>900</v>
      </c>
      <c r="B28" s="34" t="s">
        <v>9</v>
      </c>
      <c r="C28" s="44">
        <f>C29+C30+C31+C32+C33+C34+C35+C36</f>
        <v>1034500</v>
      </c>
      <c r="D28" s="130">
        <f>D29+D30+D31+D32+D33+D34+D35+D36</f>
        <v>934627</v>
      </c>
    </row>
    <row r="29" spans="1:4" ht="18" customHeight="1">
      <c r="A29" s="26"/>
      <c r="B29" s="35" t="s">
        <v>94</v>
      </c>
      <c r="C29" s="45">
        <v>102000</v>
      </c>
      <c r="D29" s="17">
        <v>17606</v>
      </c>
    </row>
    <row r="30" spans="1:4" ht="18" customHeight="1">
      <c r="A30" s="26"/>
      <c r="B30" s="35" t="s">
        <v>132</v>
      </c>
      <c r="C30" s="45">
        <v>681000</v>
      </c>
      <c r="D30" s="17">
        <v>680784</v>
      </c>
    </row>
    <row r="31" spans="1:4" ht="19.5" customHeight="1">
      <c r="A31" s="26"/>
      <c r="B31" s="35" t="s">
        <v>95</v>
      </c>
      <c r="C31" s="45">
        <v>115000</v>
      </c>
      <c r="D31" s="17">
        <v>113284</v>
      </c>
    </row>
    <row r="32" spans="1:4" ht="19.5" customHeight="1">
      <c r="A32" s="26"/>
      <c r="B32" s="35" t="s">
        <v>133</v>
      </c>
      <c r="C32" s="45">
        <v>42000</v>
      </c>
      <c r="D32" s="17">
        <v>41762</v>
      </c>
    </row>
    <row r="33" spans="1:4" ht="19.5" customHeight="1">
      <c r="A33" s="26"/>
      <c r="B33" s="35" t="s">
        <v>134</v>
      </c>
      <c r="C33" s="45">
        <v>20000</v>
      </c>
      <c r="D33" s="17">
        <v>8650</v>
      </c>
    </row>
    <row r="34" spans="1:4" ht="29.25" customHeight="1">
      <c r="A34" s="26"/>
      <c r="B34" s="35" t="s">
        <v>135</v>
      </c>
      <c r="C34" s="45">
        <v>64500</v>
      </c>
      <c r="D34" s="17">
        <v>64491</v>
      </c>
    </row>
    <row r="35" spans="1:4" ht="24.75" customHeight="1">
      <c r="A35" s="26"/>
      <c r="B35" s="35" t="s">
        <v>136</v>
      </c>
      <c r="C35" s="45">
        <v>5000</v>
      </c>
      <c r="D35" s="17">
        <v>4550</v>
      </c>
    </row>
    <row r="36" spans="1:4" ht="17.25" customHeight="1">
      <c r="A36" s="27"/>
      <c r="B36" s="46" t="s">
        <v>137</v>
      </c>
      <c r="C36" s="47">
        <v>5000</v>
      </c>
      <c r="D36" s="16">
        <v>3500</v>
      </c>
    </row>
    <row r="37" spans="1:4" s="80" customFormat="1" ht="15.75" customHeight="1">
      <c r="A37" s="43">
        <v>926</v>
      </c>
      <c r="B37" s="34" t="s">
        <v>10</v>
      </c>
      <c r="C37" s="44">
        <f>C38</f>
        <v>1590000</v>
      </c>
      <c r="D37" s="130">
        <f>D38</f>
        <v>1592966</v>
      </c>
    </row>
    <row r="38" spans="1:4" ht="17.25" customHeight="1">
      <c r="A38" s="27"/>
      <c r="B38" s="46" t="s">
        <v>138</v>
      </c>
      <c r="C38" s="47">
        <v>1590000</v>
      </c>
      <c r="D38" s="16">
        <f>1037966+555000</f>
        <v>1592966</v>
      </c>
    </row>
    <row r="39" spans="1:4" s="129" customFormat="1" ht="18.75" customHeight="1">
      <c r="A39" s="263" t="s">
        <v>310</v>
      </c>
      <c r="B39" s="264"/>
      <c r="C39" s="128">
        <f>C4+C7+C12+C15+C17+C21+C24+C26+C28+C37</f>
        <v>7214565</v>
      </c>
      <c r="D39" s="131">
        <f>D4+D7+D12+D15+D17+D21+D24+D26+D28+D37</f>
        <v>6127504</v>
      </c>
    </row>
    <row r="40" ht="19.5" customHeight="1"/>
    <row r="41" ht="20.25" customHeight="1">
      <c r="D41" s="1"/>
    </row>
  </sheetData>
  <mergeCells count="3">
    <mergeCell ref="A2:D2"/>
    <mergeCell ref="A39:B39"/>
    <mergeCell ref="A1:D1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12" sqref="J12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29.375" style="0" customWidth="1"/>
    <col min="4" max="11" width="10.125" style="0" customWidth="1"/>
  </cols>
  <sheetData>
    <row r="1" spans="1:11" ht="19.5" customHeight="1">
      <c r="A1" s="257" t="s">
        <v>395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47.25" customHeight="1">
      <c r="A2" s="262" t="s">
        <v>97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39.75" customHeight="1">
      <c r="A3" s="268" t="s">
        <v>12</v>
      </c>
      <c r="B3" s="268" t="s">
        <v>68</v>
      </c>
      <c r="C3" s="268" t="s">
        <v>0</v>
      </c>
      <c r="D3" s="265" t="s">
        <v>252</v>
      </c>
      <c r="E3" s="266"/>
      <c r="F3" s="265" t="s">
        <v>69</v>
      </c>
      <c r="G3" s="266"/>
      <c r="H3" s="265" t="s">
        <v>251</v>
      </c>
      <c r="I3" s="266"/>
      <c r="J3" s="265" t="s">
        <v>253</v>
      </c>
      <c r="K3" s="266"/>
    </row>
    <row r="4" spans="1:11" ht="20.25" customHeight="1">
      <c r="A4" s="269"/>
      <c r="B4" s="269"/>
      <c r="C4" s="269"/>
      <c r="D4" s="41" t="s">
        <v>167</v>
      </c>
      <c r="E4" s="41" t="s">
        <v>164</v>
      </c>
      <c r="F4" s="41" t="s">
        <v>167</v>
      </c>
      <c r="G4" s="41" t="s">
        <v>164</v>
      </c>
      <c r="H4" s="41" t="s">
        <v>167</v>
      </c>
      <c r="I4" s="41" t="s">
        <v>164</v>
      </c>
      <c r="J4" s="41" t="s">
        <v>167</v>
      </c>
      <c r="K4" s="31" t="s">
        <v>164</v>
      </c>
    </row>
    <row r="5" spans="1:11" ht="45" customHeight="1">
      <c r="A5" s="41">
        <v>900</v>
      </c>
      <c r="B5" s="41">
        <v>90017</v>
      </c>
      <c r="C5" s="49" t="s">
        <v>70</v>
      </c>
      <c r="D5" s="50">
        <v>71779</v>
      </c>
      <c r="E5" s="50">
        <v>71779</v>
      </c>
      <c r="F5" s="50">
        <v>4152409</v>
      </c>
      <c r="G5" s="50">
        <v>4215474</v>
      </c>
      <c r="H5" s="50">
        <v>4122717</v>
      </c>
      <c r="I5" s="50">
        <f>4175816+9966</f>
        <v>4185782</v>
      </c>
      <c r="J5" s="79">
        <v>101471</v>
      </c>
      <c r="K5" s="14">
        <v>101471</v>
      </c>
    </row>
    <row r="6" spans="1:11" ht="42" customHeight="1">
      <c r="A6" s="41">
        <v>900</v>
      </c>
      <c r="B6" s="41">
        <v>90017</v>
      </c>
      <c r="C6" s="49" t="s">
        <v>71</v>
      </c>
      <c r="D6" s="50">
        <v>83915</v>
      </c>
      <c r="E6" s="50">
        <v>88927</v>
      </c>
      <c r="F6" s="50">
        <v>2221524</v>
      </c>
      <c r="G6" s="50">
        <v>2194582</v>
      </c>
      <c r="H6" s="50">
        <v>2218504</v>
      </c>
      <c r="I6" s="50">
        <v>2195941</v>
      </c>
      <c r="J6" s="79">
        <v>86935</v>
      </c>
      <c r="K6" s="14">
        <v>87567</v>
      </c>
    </row>
    <row r="7" spans="1:11" ht="36" customHeight="1">
      <c r="A7" s="41">
        <v>900</v>
      </c>
      <c r="B7" s="41">
        <v>90017</v>
      </c>
      <c r="C7" s="49" t="s">
        <v>72</v>
      </c>
      <c r="D7" s="50">
        <v>70545</v>
      </c>
      <c r="E7" s="50">
        <v>47666</v>
      </c>
      <c r="F7" s="50">
        <v>2201284</v>
      </c>
      <c r="G7" s="50">
        <v>2223314</v>
      </c>
      <c r="H7" s="50">
        <v>2201929</v>
      </c>
      <c r="I7" s="50">
        <v>2229284</v>
      </c>
      <c r="J7" s="79">
        <v>69900</v>
      </c>
      <c r="K7" s="14">
        <v>41696</v>
      </c>
    </row>
    <row r="8" spans="1:11" ht="39" customHeight="1">
      <c r="A8" s="41">
        <v>700</v>
      </c>
      <c r="B8" s="41">
        <v>70001</v>
      </c>
      <c r="C8" s="49" t="s">
        <v>73</v>
      </c>
      <c r="D8" s="50">
        <v>4500</v>
      </c>
      <c r="E8" s="50">
        <v>-35284</v>
      </c>
      <c r="F8" s="50">
        <v>1472880</v>
      </c>
      <c r="G8" s="50">
        <v>1442886</v>
      </c>
      <c r="H8" s="50">
        <v>1446750</v>
      </c>
      <c r="I8" s="50">
        <v>1441823</v>
      </c>
      <c r="J8" s="79">
        <v>30630</v>
      </c>
      <c r="K8" s="14">
        <v>-34221</v>
      </c>
    </row>
    <row r="9" spans="1:11" s="138" customFormat="1" ht="32.25" customHeight="1">
      <c r="A9" s="263" t="s">
        <v>84</v>
      </c>
      <c r="B9" s="267"/>
      <c r="C9" s="264"/>
      <c r="D9" s="139">
        <f aca="true" t="shared" si="0" ref="D9:K9">SUM(D5:D8)</f>
        <v>230739</v>
      </c>
      <c r="E9" s="139">
        <f t="shared" si="0"/>
        <v>173088</v>
      </c>
      <c r="F9" s="139">
        <f t="shared" si="0"/>
        <v>10048097</v>
      </c>
      <c r="G9" s="139">
        <f t="shared" si="0"/>
        <v>10076256</v>
      </c>
      <c r="H9" s="139">
        <f t="shared" si="0"/>
        <v>9989900</v>
      </c>
      <c r="I9" s="139">
        <f t="shared" si="0"/>
        <v>10052830</v>
      </c>
      <c r="J9" s="140">
        <f t="shared" si="0"/>
        <v>288936</v>
      </c>
      <c r="K9" s="141">
        <f t="shared" si="0"/>
        <v>196513</v>
      </c>
    </row>
    <row r="10" spans="1:10" ht="24" customHeight="1">
      <c r="A10" s="2"/>
      <c r="B10" s="2"/>
      <c r="C10" s="10"/>
      <c r="D10" s="11"/>
      <c r="E10" s="11"/>
      <c r="F10" s="11"/>
      <c r="G10" s="11"/>
      <c r="H10" s="11"/>
      <c r="I10" s="11"/>
      <c r="J10" s="11"/>
    </row>
    <row r="11" spans="1:10" ht="24" customHeight="1">
      <c r="A11" s="2"/>
      <c r="B11" s="2"/>
      <c r="C11" s="10"/>
      <c r="D11" s="11"/>
      <c r="E11" s="11"/>
      <c r="F11" s="11"/>
      <c r="G11" s="11"/>
      <c r="H11" s="11"/>
      <c r="I11" s="11"/>
      <c r="J11" s="11"/>
    </row>
    <row r="12" spans="1:10" ht="21.75" customHeight="1">
      <c r="A12" s="2"/>
      <c r="B12" s="2"/>
      <c r="C12" s="10"/>
      <c r="D12" s="11"/>
      <c r="E12" s="11"/>
      <c r="F12" s="11"/>
      <c r="G12" s="11"/>
      <c r="H12" s="11"/>
      <c r="I12" s="11"/>
      <c r="J12" s="11"/>
    </row>
    <row r="13" spans="1:7" ht="12.75" customHeight="1">
      <c r="A13" s="2"/>
      <c r="B13" s="2"/>
      <c r="C13" s="10"/>
      <c r="G13" s="1"/>
    </row>
    <row r="14" spans="1:3" ht="44.25" customHeight="1">
      <c r="A14" s="2"/>
      <c r="B14" s="2"/>
      <c r="C14" s="10"/>
    </row>
    <row r="15" ht="16.5" customHeight="1">
      <c r="C15" s="9"/>
    </row>
    <row r="16" ht="21" customHeight="1">
      <c r="C16" s="9"/>
    </row>
    <row r="17" ht="12.75" customHeight="1">
      <c r="C17" s="9"/>
    </row>
    <row r="18" ht="19.5" customHeight="1">
      <c r="C18" s="9"/>
    </row>
    <row r="19" ht="18" customHeight="1">
      <c r="C19" s="9"/>
    </row>
    <row r="20" ht="12.75" customHeight="1">
      <c r="C20" s="9"/>
    </row>
    <row r="21" ht="18" customHeight="1">
      <c r="C21" s="9"/>
    </row>
    <row r="22" ht="12.75" customHeight="1"/>
    <row r="23" ht="12.75" customHeight="1"/>
    <row r="24" ht="22.5" customHeight="1"/>
    <row r="25" ht="27" customHeight="1"/>
    <row r="26" ht="21" customHeight="1"/>
    <row r="27" ht="18" customHeight="1"/>
    <row r="28" ht="12.75" customHeight="1"/>
    <row r="29" ht="12.75" customHeight="1"/>
    <row r="30" ht="21" customHeight="1"/>
    <row r="31" ht="18.75" customHeight="1"/>
    <row r="32" ht="12.75" customHeight="1"/>
    <row r="33" ht="19.5" customHeight="1"/>
    <row r="34" ht="20.25" customHeight="1"/>
    <row r="35" ht="12.75" customHeight="1"/>
  </sheetData>
  <mergeCells count="10">
    <mergeCell ref="A9:C9"/>
    <mergeCell ref="C3:C4"/>
    <mergeCell ref="A3:A4"/>
    <mergeCell ref="B3:B4"/>
    <mergeCell ref="A1:K1"/>
    <mergeCell ref="A2:K2"/>
    <mergeCell ref="D3:E3"/>
    <mergeCell ref="F3:G3"/>
    <mergeCell ref="H3:I3"/>
    <mergeCell ref="J3:K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6">
      <selection activeCell="D18" sqref="D18"/>
    </sheetView>
  </sheetViews>
  <sheetFormatPr defaultColWidth="9.00390625" defaultRowHeight="12.75"/>
  <cols>
    <col min="1" max="1" width="7.25390625" style="0" customWidth="1"/>
    <col min="2" max="2" width="50.625" style="0" customWidth="1"/>
    <col min="3" max="3" width="12.875" style="0" customWidth="1"/>
    <col min="4" max="4" width="12.625" style="0" customWidth="1"/>
  </cols>
  <sheetData>
    <row r="1" spans="1:4" ht="12.75">
      <c r="A1" s="271" t="s">
        <v>396</v>
      </c>
      <c r="B1" s="271"/>
      <c r="C1" s="271"/>
      <c r="D1" s="271"/>
    </row>
    <row r="2" spans="1:4" ht="60.75" customHeight="1">
      <c r="A2" s="270" t="s">
        <v>314</v>
      </c>
      <c r="B2" s="270"/>
      <c r="C2" s="270"/>
      <c r="D2" s="270"/>
    </row>
    <row r="3" spans="1:4" ht="24" customHeight="1">
      <c r="A3" s="142" t="s">
        <v>75</v>
      </c>
      <c r="B3" s="143" t="s">
        <v>0</v>
      </c>
      <c r="C3" s="144" t="s">
        <v>11</v>
      </c>
      <c r="D3" s="144" t="s">
        <v>164</v>
      </c>
    </row>
    <row r="4" spans="1:4" ht="30.75" customHeight="1">
      <c r="A4" s="142" t="s">
        <v>78</v>
      </c>
      <c r="B4" s="145" t="s">
        <v>76</v>
      </c>
      <c r="C4" s="243">
        <v>2000</v>
      </c>
      <c r="D4" s="244">
        <v>25390</v>
      </c>
    </row>
    <row r="5" spans="1:4" ht="20.25" customHeight="1">
      <c r="A5" s="82" t="s">
        <v>77</v>
      </c>
      <c r="B5" s="146" t="s">
        <v>79</v>
      </c>
      <c r="C5" s="245">
        <f>C6+C7</f>
        <v>50000</v>
      </c>
      <c r="D5" s="251">
        <f>D6+D7+D8</f>
        <v>68316</v>
      </c>
    </row>
    <row r="6" spans="1:4" ht="47.25" customHeight="1">
      <c r="A6" s="147" t="s">
        <v>80</v>
      </c>
      <c r="B6" s="148" t="s">
        <v>315</v>
      </c>
      <c r="C6" s="247">
        <v>45000</v>
      </c>
      <c r="D6" s="246">
        <v>40768</v>
      </c>
    </row>
    <row r="7" spans="1:4" ht="24" customHeight="1">
      <c r="A7" s="147" t="s">
        <v>81</v>
      </c>
      <c r="B7" s="148" t="s">
        <v>82</v>
      </c>
      <c r="C7" s="247">
        <v>5000</v>
      </c>
      <c r="D7" s="246">
        <v>27106</v>
      </c>
    </row>
    <row r="8" spans="1:4" ht="24" customHeight="1">
      <c r="A8" s="147">
        <v>3</v>
      </c>
      <c r="B8" s="148" t="s">
        <v>403</v>
      </c>
      <c r="C8" s="247"/>
      <c r="D8" s="246">
        <v>442</v>
      </c>
    </row>
    <row r="9" spans="1:4" s="129" customFormat="1" ht="23.25" customHeight="1">
      <c r="A9" s="133"/>
      <c r="B9" s="151" t="s">
        <v>84</v>
      </c>
      <c r="C9" s="248">
        <f>C4+C5</f>
        <v>52000</v>
      </c>
      <c r="D9" s="249">
        <f>D5+D4</f>
        <v>93706</v>
      </c>
    </row>
    <row r="10" spans="1:4" ht="24" customHeight="1">
      <c r="A10" s="149" t="s">
        <v>85</v>
      </c>
      <c r="B10" s="150" t="s">
        <v>13</v>
      </c>
      <c r="C10" s="250">
        <f>C11+C12+C13+C14+C15</f>
        <v>50000</v>
      </c>
      <c r="D10" s="252">
        <f>SUM(D11:D15)</f>
        <v>37905</v>
      </c>
    </row>
    <row r="11" spans="1:4" ht="39" customHeight="1">
      <c r="A11" s="147" t="s">
        <v>80</v>
      </c>
      <c r="B11" s="148" t="s">
        <v>86</v>
      </c>
      <c r="C11" s="247">
        <v>5000</v>
      </c>
      <c r="D11" s="246">
        <v>3392</v>
      </c>
    </row>
    <row r="12" spans="1:4" ht="37.5" customHeight="1">
      <c r="A12" s="147" t="s">
        <v>81</v>
      </c>
      <c r="B12" s="148" t="s">
        <v>87</v>
      </c>
      <c r="C12" s="247">
        <v>3000</v>
      </c>
      <c r="D12" s="246"/>
    </row>
    <row r="13" spans="1:4" ht="36.75" customHeight="1">
      <c r="A13" s="147" t="s">
        <v>83</v>
      </c>
      <c r="B13" s="148" t="s">
        <v>248</v>
      </c>
      <c r="C13" s="247">
        <v>10000</v>
      </c>
      <c r="D13" s="246">
        <v>9399</v>
      </c>
    </row>
    <row r="14" spans="1:4" ht="21.75" customHeight="1">
      <c r="A14" s="147" t="s">
        <v>88</v>
      </c>
      <c r="B14" s="148" t="s">
        <v>89</v>
      </c>
      <c r="C14" s="247">
        <v>10000</v>
      </c>
      <c r="D14" s="246">
        <v>2397</v>
      </c>
    </row>
    <row r="15" spans="1:4" ht="23.25" customHeight="1">
      <c r="A15" s="147" t="s">
        <v>90</v>
      </c>
      <c r="B15" s="148" t="s">
        <v>91</v>
      </c>
      <c r="C15" s="247">
        <v>22000</v>
      </c>
      <c r="D15" s="246">
        <v>22717</v>
      </c>
    </row>
    <row r="16" spans="1:4" ht="22.5" customHeight="1">
      <c r="A16" s="147" t="s">
        <v>92</v>
      </c>
      <c r="B16" s="148" t="s">
        <v>93</v>
      </c>
      <c r="C16" s="247">
        <v>2000</v>
      </c>
      <c r="D16" s="246">
        <v>55801</v>
      </c>
    </row>
    <row r="17" spans="1:4" s="129" customFormat="1" ht="23.25" customHeight="1">
      <c r="A17" s="133"/>
      <c r="B17" s="151" t="s">
        <v>84</v>
      </c>
      <c r="C17" s="248">
        <f>C10+C16</f>
        <v>52000</v>
      </c>
      <c r="D17" s="249">
        <f>D10+D16</f>
        <v>93706</v>
      </c>
    </row>
    <row r="18" spans="1:4" ht="15.75" customHeight="1">
      <c r="A18" s="152"/>
      <c r="B18" s="153"/>
      <c r="C18" s="154"/>
      <c r="D18" s="30"/>
    </row>
    <row r="19" spans="1:4" ht="12.75">
      <c r="A19" s="152"/>
      <c r="B19" s="153"/>
      <c r="C19" s="154"/>
      <c r="D19" s="30"/>
    </row>
    <row r="20" spans="1:4" ht="12.75">
      <c r="A20" s="152"/>
      <c r="B20" s="153"/>
      <c r="C20" s="154"/>
      <c r="D20" s="30"/>
    </row>
    <row r="21" spans="1:3" ht="12.75">
      <c r="A21" s="8"/>
      <c r="B21" s="2"/>
      <c r="C21" s="7"/>
    </row>
    <row r="22" spans="1:3" ht="12.75">
      <c r="A22" s="8"/>
      <c r="B22" s="2"/>
      <c r="C22" s="7"/>
    </row>
    <row r="23" spans="1:3" ht="12.75">
      <c r="A23" s="8"/>
      <c r="B23" s="2"/>
      <c r="C23" s="7"/>
    </row>
    <row r="24" spans="1:3" ht="12.75">
      <c r="A24" s="8"/>
      <c r="B24" s="2"/>
      <c r="C24" s="7"/>
    </row>
    <row r="25" spans="1:3" ht="12.75">
      <c r="A25" s="8"/>
      <c r="B25" s="2"/>
      <c r="C25" s="7"/>
    </row>
    <row r="26" spans="1:3" ht="12.75">
      <c r="A26" s="8"/>
      <c r="B26" s="2"/>
      <c r="C26" s="7"/>
    </row>
    <row r="27" spans="1:3" ht="12.75">
      <c r="A27" s="8"/>
      <c r="B27" s="2"/>
      <c r="C27" s="7"/>
    </row>
    <row r="28" spans="1:3" ht="12.75">
      <c r="A28" s="8"/>
      <c r="B28" s="2"/>
      <c r="C28" s="7"/>
    </row>
    <row r="29" spans="1:3" ht="12.75">
      <c r="A29" s="8"/>
      <c r="B29" s="2"/>
      <c r="C29" s="7"/>
    </row>
    <row r="30" spans="1:3" ht="12.75">
      <c r="A30" s="8"/>
      <c r="B30" s="2"/>
      <c r="C30" s="7"/>
    </row>
    <row r="31" spans="1:3" ht="12.75">
      <c r="A31" s="6"/>
      <c r="B31" s="2"/>
      <c r="C31" s="7"/>
    </row>
    <row r="32" spans="1:3" ht="12.75">
      <c r="A32" s="6"/>
      <c r="B32" s="2"/>
      <c r="C32" s="7"/>
    </row>
    <row r="33" spans="1:3" ht="12.75">
      <c r="A33" s="6"/>
      <c r="B33" s="2"/>
      <c r="C33" s="7"/>
    </row>
    <row r="34" spans="1:3" ht="12.75">
      <c r="A34" s="6"/>
      <c r="B34" s="2"/>
      <c r="C34" s="7"/>
    </row>
    <row r="35" spans="1:3" ht="12.75">
      <c r="A35" s="6"/>
      <c r="B35" s="2"/>
      <c r="C35" s="7"/>
    </row>
    <row r="36" spans="1:3" ht="12.75">
      <c r="A36" s="6"/>
      <c r="B36" s="2"/>
      <c r="C36" s="7"/>
    </row>
    <row r="37" spans="1:3" ht="12.75">
      <c r="A37" s="6"/>
      <c r="B37" s="2"/>
      <c r="C37" s="7"/>
    </row>
    <row r="38" spans="1:3" ht="12.75">
      <c r="A38" s="6"/>
      <c r="B38" s="2"/>
      <c r="C38" s="7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</sheetData>
  <mergeCells count="2">
    <mergeCell ref="A2:D2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6">
      <selection activeCell="F17" sqref="F17"/>
    </sheetView>
  </sheetViews>
  <sheetFormatPr defaultColWidth="9.00390625" defaultRowHeight="12.75"/>
  <cols>
    <col min="1" max="1" width="9.75390625" style="0" customWidth="1"/>
    <col min="2" max="2" width="54.375" style="0" customWidth="1"/>
    <col min="3" max="3" width="26.25390625" style="0" customWidth="1"/>
    <col min="4" max="5" width="17.375" style="0" customWidth="1"/>
    <col min="6" max="6" width="13.875" style="0" customWidth="1"/>
    <col min="7" max="7" width="14.875" style="0" customWidth="1"/>
    <col min="8" max="8" width="17.625" style="0" customWidth="1"/>
  </cols>
  <sheetData>
    <row r="1" spans="1:5" ht="17.25" customHeight="1">
      <c r="A1" s="257" t="s">
        <v>397</v>
      </c>
      <c r="B1" s="257"/>
      <c r="C1" s="257"/>
      <c r="D1" s="257"/>
      <c r="E1" s="257"/>
    </row>
    <row r="2" spans="1:5" ht="27" customHeight="1">
      <c r="A2" s="275" t="s">
        <v>306</v>
      </c>
      <c r="B2" s="275"/>
      <c r="C2" s="275"/>
      <c r="D2" s="275"/>
      <c r="E2" s="275"/>
    </row>
    <row r="3" spans="1:8" s="8" customFormat="1" ht="40.5" customHeight="1">
      <c r="A3" s="31" t="s">
        <v>59</v>
      </c>
      <c r="B3" s="223" t="s">
        <v>272</v>
      </c>
      <c r="C3" s="31" t="s">
        <v>275</v>
      </c>
      <c r="D3" s="31" t="s">
        <v>273</v>
      </c>
      <c r="E3" s="79" t="s">
        <v>274</v>
      </c>
      <c r="F3" s="93"/>
      <c r="G3" s="93"/>
      <c r="H3" s="93"/>
    </row>
    <row r="4" spans="1:5" s="30" customFormat="1" ht="20.25" customHeight="1">
      <c r="A4" s="13">
        <v>801</v>
      </c>
      <c r="B4" s="224" t="s">
        <v>7</v>
      </c>
      <c r="C4" s="94"/>
      <c r="D4" s="15">
        <f>D5+D7</f>
        <v>131927</v>
      </c>
      <c r="E4" s="15">
        <f>E5+E7</f>
        <v>131927</v>
      </c>
    </row>
    <row r="5" spans="1:5" s="80" customFormat="1" ht="24.75" customHeight="1">
      <c r="A5" s="52">
        <v>80104</v>
      </c>
      <c r="B5" s="225" t="s">
        <v>40</v>
      </c>
      <c r="C5" s="101"/>
      <c r="D5" s="28">
        <f>D6</f>
        <v>118081</v>
      </c>
      <c r="E5" s="28">
        <f>E6</f>
        <v>118081</v>
      </c>
    </row>
    <row r="6" spans="1:5" s="30" customFormat="1" ht="24" customHeight="1">
      <c r="A6" s="26"/>
      <c r="B6" s="226" t="s">
        <v>289</v>
      </c>
      <c r="C6" s="106" t="s">
        <v>372</v>
      </c>
      <c r="D6" s="17">
        <v>118081</v>
      </c>
      <c r="E6" s="17">
        <v>118081</v>
      </c>
    </row>
    <row r="7" spans="1:5" s="80" customFormat="1" ht="24.75" customHeight="1">
      <c r="A7" s="52">
        <v>80113</v>
      </c>
      <c r="B7" s="225" t="s">
        <v>42</v>
      </c>
      <c r="C7" s="101"/>
      <c r="D7" s="28">
        <f>D8</f>
        <v>13846</v>
      </c>
      <c r="E7" s="28">
        <f>E8</f>
        <v>13846</v>
      </c>
    </row>
    <row r="8" spans="1:5" s="30" customFormat="1" ht="39" customHeight="1">
      <c r="A8" s="27"/>
      <c r="B8" s="227" t="s">
        <v>290</v>
      </c>
      <c r="C8" s="104" t="s">
        <v>276</v>
      </c>
      <c r="D8" s="16">
        <f>10000+3846</f>
        <v>13846</v>
      </c>
      <c r="E8" s="16">
        <f>10000+3846</f>
        <v>13846</v>
      </c>
    </row>
    <row r="9" spans="1:5" s="30" customFormat="1" ht="16.5" customHeight="1">
      <c r="A9" s="13">
        <v>851</v>
      </c>
      <c r="B9" s="96" t="s">
        <v>44</v>
      </c>
      <c r="C9" s="94"/>
      <c r="D9" s="95">
        <f>D10+D12</f>
        <v>25700</v>
      </c>
      <c r="E9" s="15">
        <f>E10+E12</f>
        <v>25700</v>
      </c>
    </row>
    <row r="10" spans="1:5" s="80" customFormat="1" ht="21" customHeight="1">
      <c r="A10" s="52">
        <v>85153</v>
      </c>
      <c r="B10" s="97" t="s">
        <v>45</v>
      </c>
      <c r="C10" s="101"/>
      <c r="D10" s="102">
        <f>D11</f>
        <v>4000</v>
      </c>
      <c r="E10" s="28">
        <f>E11</f>
        <v>4000</v>
      </c>
    </row>
    <row r="11" spans="1:5" s="30" customFormat="1" ht="26.25" customHeight="1">
      <c r="A11" s="26"/>
      <c r="B11" s="229" t="s">
        <v>291</v>
      </c>
      <c r="C11" s="106" t="s">
        <v>277</v>
      </c>
      <c r="D11" s="107">
        <v>4000</v>
      </c>
      <c r="E11" s="17">
        <v>4000</v>
      </c>
    </row>
    <row r="12" spans="1:5" s="80" customFormat="1" ht="18.75" customHeight="1">
      <c r="A12" s="52">
        <v>85154</v>
      </c>
      <c r="B12" s="97" t="s">
        <v>46</v>
      </c>
      <c r="C12" s="101"/>
      <c r="D12" s="102">
        <f>D13+D14+D15+D16+D17+D18+D19+D20+D21</f>
        <v>21700</v>
      </c>
      <c r="E12" s="28">
        <f>E13+E14+E15+E16+E17+E18+E19+E20+E21</f>
        <v>21700</v>
      </c>
    </row>
    <row r="13" spans="1:5" s="30" customFormat="1" ht="27" customHeight="1">
      <c r="A13" s="26"/>
      <c r="B13" s="229" t="s">
        <v>292</v>
      </c>
      <c r="C13" s="106" t="s">
        <v>278</v>
      </c>
      <c r="D13" s="107">
        <v>7000</v>
      </c>
      <c r="E13" s="17">
        <v>7000</v>
      </c>
    </row>
    <row r="14" spans="1:5" s="30" customFormat="1" ht="29.25" customHeight="1">
      <c r="A14" s="27"/>
      <c r="B14" s="103" t="s">
        <v>293</v>
      </c>
      <c r="C14" s="104" t="s">
        <v>279</v>
      </c>
      <c r="D14" s="105">
        <v>3000</v>
      </c>
      <c r="E14" s="16">
        <v>3000</v>
      </c>
    </row>
    <row r="15" spans="1:5" s="30" customFormat="1" ht="35.25" customHeight="1">
      <c r="A15" s="13"/>
      <c r="B15" s="228" t="s">
        <v>294</v>
      </c>
      <c r="C15" s="94" t="s">
        <v>280</v>
      </c>
      <c r="D15" s="15">
        <v>2000</v>
      </c>
      <c r="E15" s="15">
        <v>2000</v>
      </c>
    </row>
    <row r="16" spans="1:5" s="30" customFormat="1" ht="30.75" customHeight="1">
      <c r="A16" s="26"/>
      <c r="B16" s="108" t="s">
        <v>295</v>
      </c>
      <c r="C16" s="106" t="s">
        <v>281</v>
      </c>
      <c r="D16" s="17">
        <v>1000</v>
      </c>
      <c r="E16" s="17">
        <v>1000</v>
      </c>
    </row>
    <row r="17" spans="1:5" s="30" customFormat="1" ht="28.5" customHeight="1">
      <c r="A17" s="27"/>
      <c r="B17" s="253" t="s">
        <v>293</v>
      </c>
      <c r="C17" s="104" t="s">
        <v>281</v>
      </c>
      <c r="D17" s="16">
        <v>1000</v>
      </c>
      <c r="E17" s="16">
        <v>1000</v>
      </c>
    </row>
    <row r="18" spans="1:5" s="30" customFormat="1" ht="28.5" customHeight="1">
      <c r="A18" s="254"/>
      <c r="B18" s="255" t="s">
        <v>296</v>
      </c>
      <c r="C18" s="94" t="s">
        <v>281</v>
      </c>
      <c r="D18" s="15">
        <v>1500</v>
      </c>
      <c r="E18" s="15">
        <v>1500</v>
      </c>
    </row>
    <row r="19" spans="1:5" s="30" customFormat="1" ht="27" customHeight="1">
      <c r="A19" s="155"/>
      <c r="B19" s="109" t="s">
        <v>296</v>
      </c>
      <c r="C19" s="115" t="s">
        <v>282</v>
      </c>
      <c r="D19" s="17">
        <v>2500</v>
      </c>
      <c r="E19" s="17">
        <v>2500</v>
      </c>
    </row>
    <row r="20" spans="1:5" s="30" customFormat="1" ht="23.25" customHeight="1">
      <c r="A20" s="155"/>
      <c r="B20" s="109" t="s">
        <v>297</v>
      </c>
      <c r="C20" s="115" t="s">
        <v>283</v>
      </c>
      <c r="D20" s="17">
        <v>1200</v>
      </c>
      <c r="E20" s="17">
        <v>1200</v>
      </c>
    </row>
    <row r="21" spans="1:5" s="30" customFormat="1" ht="35.25" customHeight="1">
      <c r="A21" s="256"/>
      <c r="B21" s="117" t="s">
        <v>298</v>
      </c>
      <c r="C21" s="118" t="s">
        <v>283</v>
      </c>
      <c r="D21" s="16">
        <v>2500</v>
      </c>
      <c r="E21" s="16">
        <v>2500</v>
      </c>
    </row>
    <row r="22" spans="1:5" s="30" customFormat="1" ht="17.25" customHeight="1">
      <c r="A22" s="13">
        <v>852</v>
      </c>
      <c r="B22" s="98" t="s">
        <v>8</v>
      </c>
      <c r="C22" s="126"/>
      <c r="D22" s="95">
        <f>D23</f>
        <v>50000</v>
      </c>
      <c r="E22" s="15">
        <f>E23</f>
        <v>50000</v>
      </c>
    </row>
    <row r="23" spans="1:5" s="80" customFormat="1" ht="21" customHeight="1">
      <c r="A23" s="52">
        <v>85295</v>
      </c>
      <c r="B23" s="110" t="s">
        <v>23</v>
      </c>
      <c r="C23" s="119"/>
      <c r="D23" s="102">
        <f>D24</f>
        <v>50000</v>
      </c>
      <c r="E23" s="28">
        <f>E24</f>
        <v>50000</v>
      </c>
    </row>
    <row r="24" spans="1:5" s="30" customFormat="1" ht="25.5" customHeight="1">
      <c r="A24" s="27"/>
      <c r="B24" s="111" t="s">
        <v>299</v>
      </c>
      <c r="C24" s="118" t="s">
        <v>284</v>
      </c>
      <c r="D24" s="112">
        <v>50000</v>
      </c>
      <c r="E24" s="47">
        <v>50000</v>
      </c>
    </row>
    <row r="25" spans="1:5" s="30" customFormat="1" ht="20.25" customHeight="1">
      <c r="A25" s="13">
        <v>921</v>
      </c>
      <c r="B25" s="99" t="s">
        <v>54</v>
      </c>
      <c r="C25" s="126"/>
      <c r="D25" s="100">
        <f>D26</f>
        <v>8500</v>
      </c>
      <c r="E25" s="51">
        <f>E26</f>
        <v>8500</v>
      </c>
    </row>
    <row r="26" spans="1:5" s="80" customFormat="1" ht="24.75" customHeight="1">
      <c r="A26" s="52">
        <v>92105</v>
      </c>
      <c r="B26" s="113" t="s">
        <v>155</v>
      </c>
      <c r="C26" s="119"/>
      <c r="D26" s="114">
        <f>D27+D28</f>
        <v>8500</v>
      </c>
      <c r="E26" s="53">
        <f>E27+E28</f>
        <v>8500</v>
      </c>
    </row>
    <row r="27" spans="1:5" s="30" customFormat="1" ht="39" customHeight="1">
      <c r="A27" s="26"/>
      <c r="B27" s="109" t="s">
        <v>300</v>
      </c>
      <c r="C27" s="115" t="s">
        <v>285</v>
      </c>
      <c r="D27" s="116">
        <v>1500</v>
      </c>
      <c r="E27" s="45">
        <v>1500</v>
      </c>
    </row>
    <row r="28" spans="1:5" s="30" customFormat="1" ht="26.25" customHeight="1">
      <c r="A28" s="27"/>
      <c r="B28" s="117" t="s">
        <v>301</v>
      </c>
      <c r="C28" s="118" t="s">
        <v>286</v>
      </c>
      <c r="D28" s="112">
        <v>7000</v>
      </c>
      <c r="E28" s="47">
        <v>7000</v>
      </c>
    </row>
    <row r="29" spans="1:5" s="30" customFormat="1" ht="17.25" customHeight="1">
      <c r="A29" s="13">
        <v>926</v>
      </c>
      <c r="B29" s="98" t="s">
        <v>10</v>
      </c>
      <c r="C29" s="126"/>
      <c r="D29" s="100">
        <f>D30</f>
        <v>35000</v>
      </c>
      <c r="E29" s="51">
        <f>E30</f>
        <v>35000</v>
      </c>
    </row>
    <row r="30" spans="1:5" s="80" customFormat="1" ht="24.75" customHeight="1">
      <c r="A30" s="52">
        <v>92605</v>
      </c>
      <c r="B30" s="110" t="s">
        <v>58</v>
      </c>
      <c r="C30" s="119"/>
      <c r="D30" s="114">
        <f>D31+D32+D33</f>
        <v>35000</v>
      </c>
      <c r="E30" s="53">
        <f>E31+E32+E33</f>
        <v>35000</v>
      </c>
    </row>
    <row r="31" spans="1:5" s="30" customFormat="1" ht="33" customHeight="1">
      <c r="A31" s="26"/>
      <c r="B31" s="109" t="s">
        <v>302</v>
      </c>
      <c r="C31" s="115" t="s">
        <v>285</v>
      </c>
      <c r="D31" s="116">
        <v>12000</v>
      </c>
      <c r="E31" s="45">
        <v>12000</v>
      </c>
    </row>
    <row r="32" spans="1:5" s="30" customFormat="1" ht="32.25" customHeight="1">
      <c r="A32" s="26"/>
      <c r="B32" s="109" t="s">
        <v>303</v>
      </c>
      <c r="C32" s="115" t="s">
        <v>287</v>
      </c>
      <c r="D32" s="116">
        <v>11000</v>
      </c>
      <c r="E32" s="45">
        <v>11000</v>
      </c>
    </row>
    <row r="33" spans="1:5" s="30" customFormat="1" ht="35.25" customHeight="1">
      <c r="A33" s="27"/>
      <c r="B33" s="117" t="s">
        <v>304</v>
      </c>
      <c r="C33" s="118" t="s">
        <v>288</v>
      </c>
      <c r="D33" s="112">
        <v>12000</v>
      </c>
      <c r="E33" s="47">
        <v>12000</v>
      </c>
    </row>
    <row r="34" spans="1:5" s="80" customFormat="1" ht="24.75" customHeight="1">
      <c r="A34" s="272" t="s">
        <v>305</v>
      </c>
      <c r="B34" s="273"/>
      <c r="C34" s="274"/>
      <c r="D34" s="125">
        <f>D4+D9+D22+D25+D29</f>
        <v>251127</v>
      </c>
      <c r="E34" s="125">
        <f>E4+E9+E22+E25+E29</f>
        <v>251127</v>
      </c>
    </row>
    <row r="35" spans="1:5" s="30" customFormat="1" ht="12.75">
      <c r="A35" s="120"/>
      <c r="B35" s="156"/>
      <c r="C35" s="122"/>
      <c r="D35" s="123"/>
      <c r="E35" s="123"/>
    </row>
    <row r="36" spans="1:5" s="30" customFormat="1" ht="12.75">
      <c r="A36" s="120"/>
      <c r="B36" s="156"/>
      <c r="C36" s="122"/>
      <c r="D36" s="123"/>
      <c r="E36" s="123"/>
    </row>
    <row r="37" spans="1:5" s="30" customFormat="1" ht="12.75">
      <c r="A37" s="120"/>
      <c r="B37" s="156"/>
      <c r="C37" s="122"/>
      <c r="D37" s="123"/>
      <c r="E37" s="123"/>
    </row>
    <row r="38" spans="1:5" s="30" customFormat="1" ht="12.75">
      <c r="A38" s="120"/>
      <c r="B38" s="121"/>
      <c r="C38" s="48"/>
      <c r="D38" s="123"/>
      <c r="E38" s="123"/>
    </row>
    <row r="39" spans="1:5" ht="12.75">
      <c r="A39" s="120"/>
      <c r="B39" s="124"/>
      <c r="C39" s="48"/>
      <c r="D39" s="123"/>
      <c r="E39" s="123"/>
    </row>
    <row r="40" spans="2:5" ht="12.75">
      <c r="B40" s="4"/>
      <c r="D40" s="7"/>
      <c r="E40" s="7"/>
    </row>
    <row r="41" spans="4:5" ht="12.75">
      <c r="D41" s="7"/>
      <c r="E41" s="7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</sheetData>
  <mergeCells count="3">
    <mergeCell ref="A34:C34"/>
    <mergeCell ref="A2:E2"/>
    <mergeCell ref="A1:E1"/>
  </mergeCells>
  <printOptions/>
  <pageMargins left="0.9055118110236221" right="0.9055118110236221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3">
      <selection activeCell="D5" sqref="D5"/>
    </sheetView>
  </sheetViews>
  <sheetFormatPr defaultColWidth="9.00390625" defaultRowHeight="12.75"/>
  <cols>
    <col min="1" max="1" width="32.875" style="0" customWidth="1"/>
    <col min="2" max="2" width="13.25390625" style="0" customWidth="1"/>
    <col min="3" max="3" width="13.00390625" style="0" customWidth="1"/>
    <col min="4" max="4" width="13.875" style="0" customWidth="1"/>
    <col min="5" max="5" width="15.125" style="0" customWidth="1"/>
  </cols>
  <sheetData>
    <row r="1" spans="1:5" ht="24" customHeight="1">
      <c r="A1" s="271" t="s">
        <v>390</v>
      </c>
      <c r="B1" s="271"/>
      <c r="C1" s="271"/>
      <c r="D1" s="271"/>
      <c r="E1" s="271"/>
    </row>
    <row r="2" spans="1:5" ht="50.25" customHeight="1">
      <c r="A2" s="276" t="s">
        <v>240</v>
      </c>
      <c r="B2" s="276"/>
      <c r="C2" s="276"/>
      <c r="D2" s="276"/>
      <c r="E2" s="276"/>
    </row>
    <row r="3" spans="1:6" ht="48">
      <c r="A3" s="78" t="s">
        <v>0</v>
      </c>
      <c r="B3" s="78" t="s">
        <v>239</v>
      </c>
      <c r="C3" s="78" t="s">
        <v>69</v>
      </c>
      <c r="D3" s="78" t="s">
        <v>238</v>
      </c>
      <c r="E3" s="78" t="s">
        <v>237</v>
      </c>
      <c r="F3" s="68"/>
    </row>
    <row r="4" spans="1:6" ht="47.25" customHeight="1">
      <c r="A4" s="72" t="s">
        <v>249</v>
      </c>
      <c r="B4" s="73">
        <v>607943</v>
      </c>
      <c r="C4" s="73"/>
      <c r="D4" s="73">
        <v>532501</v>
      </c>
      <c r="E4" s="73">
        <f>B4-D4</f>
        <v>75442</v>
      </c>
      <c r="F4" s="67"/>
    </row>
    <row r="5" spans="1:5" ht="34.5" customHeight="1">
      <c r="A5" s="74" t="s">
        <v>241</v>
      </c>
      <c r="B5" s="75">
        <v>488558</v>
      </c>
      <c r="C5" s="75"/>
      <c r="D5" s="75">
        <v>488558</v>
      </c>
      <c r="E5" s="73">
        <f>B5-D5</f>
        <v>0</v>
      </c>
    </row>
    <row r="6" spans="1:5" ht="37.5" customHeight="1">
      <c r="A6" s="74" t="s">
        <v>250</v>
      </c>
      <c r="B6" s="75">
        <v>5690000</v>
      </c>
      <c r="C6" s="75"/>
      <c r="D6" s="75">
        <v>450000</v>
      </c>
      <c r="E6" s="73">
        <f>B6-D6</f>
        <v>5240000</v>
      </c>
    </row>
    <row r="7" spans="1:5" ht="42" customHeight="1">
      <c r="A7" s="74" t="s">
        <v>242</v>
      </c>
      <c r="B7" s="75">
        <v>60000</v>
      </c>
      <c r="C7" s="75"/>
      <c r="D7" s="75">
        <v>60000</v>
      </c>
      <c r="E7" s="73">
        <f>B7-D7</f>
        <v>0</v>
      </c>
    </row>
    <row r="8" spans="1:5" ht="40.5" customHeight="1">
      <c r="A8" s="74" t="s">
        <v>386</v>
      </c>
      <c r="B8" s="75">
        <v>0</v>
      </c>
      <c r="C8" s="75">
        <v>2280000</v>
      </c>
      <c r="D8" s="75"/>
      <c r="E8" s="75">
        <f>C8</f>
        <v>2280000</v>
      </c>
    </row>
    <row r="9" spans="1:5" ht="46.5" customHeight="1">
      <c r="A9" s="74" t="s">
        <v>243</v>
      </c>
      <c r="B9" s="75">
        <v>56000</v>
      </c>
      <c r="C9" s="75"/>
      <c r="D9" s="75">
        <v>28000</v>
      </c>
      <c r="E9" s="75">
        <f>B9-D9</f>
        <v>28000</v>
      </c>
    </row>
    <row r="10" spans="1:5" ht="47.25" customHeight="1">
      <c r="A10" s="74" t="s">
        <v>244</v>
      </c>
      <c r="B10" s="75">
        <v>250000</v>
      </c>
      <c r="C10" s="75"/>
      <c r="D10" s="75">
        <v>100000</v>
      </c>
      <c r="E10" s="75">
        <v>150000</v>
      </c>
    </row>
    <row r="11" spans="1:5" ht="41.25" customHeight="1">
      <c r="A11" s="74" t="s">
        <v>245</v>
      </c>
      <c r="B11" s="75">
        <v>56000</v>
      </c>
      <c r="C11" s="75"/>
      <c r="D11" s="75">
        <v>28000</v>
      </c>
      <c r="E11" s="75">
        <f>B11-D11</f>
        <v>28000</v>
      </c>
    </row>
    <row r="12" spans="1:5" ht="41.25" customHeight="1">
      <c r="A12" s="74" t="s">
        <v>246</v>
      </c>
      <c r="B12" s="75">
        <v>350000</v>
      </c>
      <c r="C12" s="75"/>
      <c r="D12" s="75">
        <v>50000</v>
      </c>
      <c r="E12" s="75">
        <f>B12-D12</f>
        <v>300000</v>
      </c>
    </row>
    <row r="13" spans="1:5" ht="41.25" customHeight="1">
      <c r="A13" s="74" t="s">
        <v>387</v>
      </c>
      <c r="B13" s="75"/>
      <c r="C13" s="75">
        <v>158749</v>
      </c>
      <c r="D13" s="75"/>
      <c r="E13" s="75">
        <v>158749</v>
      </c>
    </row>
    <row r="14" spans="1:5" ht="45" customHeight="1">
      <c r="A14" s="74" t="s">
        <v>388</v>
      </c>
      <c r="B14" s="75"/>
      <c r="C14" s="75">
        <v>350000</v>
      </c>
      <c r="D14" s="75"/>
      <c r="E14" s="75">
        <v>350000</v>
      </c>
    </row>
    <row r="15" spans="1:5" ht="45" customHeight="1">
      <c r="A15" s="74" t="s">
        <v>389</v>
      </c>
      <c r="B15" s="75"/>
      <c r="C15" s="75">
        <v>2317614.47</v>
      </c>
      <c r="D15" s="75">
        <v>1471896.95</v>
      </c>
      <c r="E15" s="75">
        <f>C15-D15</f>
        <v>845717.5200000003</v>
      </c>
    </row>
    <row r="16" spans="1:5" s="24" customFormat="1" ht="31.5" customHeight="1">
      <c r="A16" s="76" t="s">
        <v>247</v>
      </c>
      <c r="B16" s="77">
        <f>SUM(B4:B15)</f>
        <v>7558501</v>
      </c>
      <c r="C16" s="77">
        <f>SUM(C4:C15)</f>
        <v>5106363.470000001</v>
      </c>
      <c r="D16" s="77">
        <f>SUM(D4:D15)</f>
        <v>3208955.95</v>
      </c>
      <c r="E16" s="77">
        <f>SUM(E4:E15)</f>
        <v>9455908.52</v>
      </c>
    </row>
    <row r="17" spans="1:5" ht="12.75">
      <c r="A17" s="69"/>
      <c r="B17" s="70"/>
      <c r="C17" s="70"/>
      <c r="D17" s="70"/>
      <c r="E17" s="70"/>
    </row>
    <row r="18" spans="1:5" ht="12.75">
      <c r="A18" s="69"/>
      <c r="B18" s="70"/>
      <c r="C18" s="70"/>
      <c r="D18" s="70"/>
      <c r="E18" s="70"/>
    </row>
    <row r="19" spans="1:5" ht="12.75">
      <c r="A19" s="69"/>
      <c r="B19" s="70"/>
      <c r="C19" s="70"/>
      <c r="D19" s="70"/>
      <c r="E19" s="70"/>
    </row>
    <row r="20" spans="1:5" ht="12.75">
      <c r="A20" s="69"/>
      <c r="B20" s="70"/>
      <c r="C20" s="70"/>
      <c r="D20" s="70"/>
      <c r="E20" s="70"/>
    </row>
    <row r="21" spans="1:5" ht="12.75">
      <c r="A21" s="69"/>
      <c r="B21" s="71"/>
      <c r="C21" s="71"/>
      <c r="D21" s="71"/>
      <c r="E21" s="71"/>
    </row>
    <row r="22" spans="1:5" ht="12.75">
      <c r="A22" s="69"/>
      <c r="B22" s="71"/>
      <c r="C22" s="71"/>
      <c r="D22" s="71"/>
      <c r="E22" s="71"/>
    </row>
    <row r="23" spans="1:5" ht="12.75">
      <c r="A23" s="69"/>
      <c r="B23" s="71"/>
      <c r="C23" s="71"/>
      <c r="D23" s="71"/>
      <c r="E23" s="71"/>
    </row>
    <row r="24" spans="1:5" ht="12.75">
      <c r="A24" s="69"/>
      <c r="B24" s="71"/>
      <c r="C24" s="71"/>
      <c r="D24" s="71"/>
      <c r="E24" s="71"/>
    </row>
    <row r="25" spans="1:5" ht="12.75">
      <c r="A25" s="69"/>
      <c r="B25" s="71"/>
      <c r="C25" s="71"/>
      <c r="D25" s="71"/>
      <c r="E25" s="71"/>
    </row>
    <row r="26" spans="1:5" ht="12.75">
      <c r="A26" s="69"/>
      <c r="B26" s="71"/>
      <c r="C26" s="71"/>
      <c r="D26" s="71"/>
      <c r="E26" s="71"/>
    </row>
    <row r="27" spans="1:5" ht="12.75">
      <c r="A27" s="69"/>
      <c r="B27" s="71"/>
      <c r="C27" s="71"/>
      <c r="D27" s="71"/>
      <c r="E27" s="71"/>
    </row>
    <row r="28" spans="1:5" ht="12.75">
      <c r="A28" s="69"/>
      <c r="B28" s="71"/>
      <c r="C28" s="71"/>
      <c r="D28" s="71"/>
      <c r="E28" s="71"/>
    </row>
    <row r="29" spans="1:5" ht="12.75">
      <c r="A29" s="69"/>
      <c r="B29" s="71"/>
      <c r="C29" s="71"/>
      <c r="D29" s="71"/>
      <c r="E29" s="71"/>
    </row>
    <row r="30" spans="1:5" ht="12.75">
      <c r="A30" s="69"/>
      <c r="B30" s="71"/>
      <c r="C30" s="71"/>
      <c r="D30" s="71"/>
      <c r="E30" s="71"/>
    </row>
    <row r="31" spans="1:5" ht="12.75">
      <c r="A31" s="69"/>
      <c r="B31" s="71"/>
      <c r="C31" s="71"/>
      <c r="D31" s="71"/>
      <c r="E31" s="71"/>
    </row>
    <row r="32" spans="1:5" ht="12.75">
      <c r="A32" s="69"/>
      <c r="B32" s="71"/>
      <c r="C32" s="71"/>
      <c r="D32" s="71"/>
      <c r="E32" s="71"/>
    </row>
    <row r="33" spans="1:5" ht="12.75">
      <c r="A33" s="69"/>
      <c r="B33" s="71"/>
      <c r="C33" s="71"/>
      <c r="D33" s="71"/>
      <c r="E33" s="71"/>
    </row>
    <row r="34" ht="12.75">
      <c r="A34" s="69"/>
    </row>
    <row r="35" ht="12.75">
      <c r="A35" s="69"/>
    </row>
    <row r="36" ht="12.75">
      <c r="A36" s="69"/>
    </row>
    <row r="37" ht="12.75">
      <c r="A37" s="69"/>
    </row>
    <row r="38" ht="12.75">
      <c r="A38" s="69"/>
    </row>
    <row r="39" ht="12.75">
      <c r="A39" s="69"/>
    </row>
    <row r="40" ht="12.75">
      <c r="A40" s="69"/>
    </row>
    <row r="41" ht="12.75">
      <c r="A41" s="69"/>
    </row>
    <row r="42" ht="12.75">
      <c r="A42" s="69"/>
    </row>
    <row r="43" ht="12.75">
      <c r="A43" s="69"/>
    </row>
    <row r="44" ht="12.75">
      <c r="A44" s="69"/>
    </row>
    <row r="45" ht="12.75">
      <c r="A45" s="69"/>
    </row>
    <row r="46" ht="12.75">
      <c r="A46" s="69"/>
    </row>
    <row r="47" ht="12.75">
      <c r="A47" s="69"/>
    </row>
    <row r="48" ht="12.75">
      <c r="A48" s="69"/>
    </row>
    <row r="49" ht="12.75">
      <c r="A49" s="69"/>
    </row>
    <row r="50" ht="12.75">
      <c r="A50" s="69"/>
    </row>
  </sheetData>
  <mergeCells count="2">
    <mergeCell ref="A2:E2"/>
    <mergeCell ref="A1:E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2">
      <selection activeCell="A18" sqref="A18:J18"/>
    </sheetView>
  </sheetViews>
  <sheetFormatPr defaultColWidth="9.00390625" defaultRowHeight="12.75"/>
  <cols>
    <col min="1" max="1" width="11.00390625" style="8" customWidth="1"/>
    <col min="2" max="2" width="38.875" style="0" customWidth="1"/>
    <col min="3" max="3" width="11.25390625" style="0" customWidth="1"/>
    <col min="4" max="4" width="10.875" style="0" customWidth="1"/>
    <col min="5" max="5" width="10.375" style="0" customWidth="1"/>
    <col min="6" max="6" width="11.00390625" style="0" customWidth="1"/>
    <col min="7" max="7" width="10.375" style="0" customWidth="1"/>
    <col min="8" max="8" width="11.125" style="0" customWidth="1"/>
    <col min="9" max="9" width="9.25390625" style="0" customWidth="1"/>
    <col min="10" max="10" width="10.25390625" style="0" customWidth="1"/>
    <col min="12" max="13" width="9.75390625" style="0" customWidth="1"/>
  </cols>
  <sheetData>
    <row r="1" spans="1:10" ht="12.75">
      <c r="A1" s="261" t="s">
        <v>398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s="80" customFormat="1" ht="39.75" customHeight="1">
      <c r="A2" s="277" t="s">
        <v>333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s="80" customFormat="1" ht="28.5" customHeight="1">
      <c r="A3" s="273" t="s">
        <v>332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s="167" customFormat="1" ht="24" customHeight="1">
      <c r="A4" s="166" t="s">
        <v>59</v>
      </c>
      <c r="B4" s="166" t="s">
        <v>0</v>
      </c>
      <c r="C4" s="160" t="s">
        <v>322</v>
      </c>
      <c r="D4" s="160" t="s">
        <v>316</v>
      </c>
      <c r="E4" s="160" t="s">
        <v>322</v>
      </c>
      <c r="F4" s="160" t="s">
        <v>316</v>
      </c>
      <c r="G4" s="160" t="s">
        <v>322</v>
      </c>
      <c r="H4" s="160" t="s">
        <v>316</v>
      </c>
      <c r="I4" s="160" t="s">
        <v>323</v>
      </c>
      <c r="J4" s="160" t="s">
        <v>316</v>
      </c>
    </row>
    <row r="5" spans="1:10" ht="21" customHeight="1">
      <c r="A5" s="278" t="s">
        <v>236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26.25" customHeight="1">
      <c r="A6" s="83"/>
      <c r="B6" s="83"/>
      <c r="C6" s="285" t="s">
        <v>319</v>
      </c>
      <c r="D6" s="285"/>
      <c r="E6" s="285" t="s">
        <v>317</v>
      </c>
      <c r="F6" s="285"/>
      <c r="G6" s="285" t="s">
        <v>318</v>
      </c>
      <c r="H6" s="285"/>
      <c r="I6" s="283" t="s">
        <v>320</v>
      </c>
      <c r="J6" s="284"/>
    </row>
    <row r="7" spans="1:10" s="30" customFormat="1" ht="24" customHeight="1">
      <c r="A7" s="144">
        <v>700</v>
      </c>
      <c r="B7" s="164" t="s">
        <v>1</v>
      </c>
      <c r="C7" s="169">
        <f>C8</f>
        <v>30500</v>
      </c>
      <c r="D7" s="169">
        <f>D8</f>
        <v>27767</v>
      </c>
      <c r="E7" s="169"/>
      <c r="F7" s="169"/>
      <c r="G7" s="169"/>
      <c r="H7" s="169"/>
      <c r="I7" s="169">
        <f>I8</f>
        <v>30500</v>
      </c>
      <c r="J7" s="169">
        <f>J8</f>
        <v>27767</v>
      </c>
    </row>
    <row r="8" spans="1:10" s="80" customFormat="1" ht="22.5" customHeight="1">
      <c r="A8" s="161">
        <v>70005</v>
      </c>
      <c r="B8" s="163" t="s">
        <v>26</v>
      </c>
      <c r="C8" s="125">
        <f>C9</f>
        <v>30500</v>
      </c>
      <c r="D8" s="125">
        <f>D9</f>
        <v>27767</v>
      </c>
      <c r="E8" s="125"/>
      <c r="F8" s="125"/>
      <c r="G8" s="125"/>
      <c r="H8" s="125"/>
      <c r="I8" s="125">
        <f>I9</f>
        <v>30500</v>
      </c>
      <c r="J8" s="125">
        <f>J9</f>
        <v>27767</v>
      </c>
    </row>
    <row r="9" spans="1:10" s="30" customFormat="1" ht="63.75">
      <c r="A9" s="144"/>
      <c r="B9" s="168" t="s">
        <v>324</v>
      </c>
      <c r="C9" s="169">
        <v>30500</v>
      </c>
      <c r="D9" s="169">
        <v>27767</v>
      </c>
      <c r="E9" s="169"/>
      <c r="F9" s="169"/>
      <c r="G9" s="169"/>
      <c r="H9" s="169"/>
      <c r="I9" s="169">
        <f>C9+E9+G9</f>
        <v>30500</v>
      </c>
      <c r="J9" s="169">
        <f>D9+F9+H9</f>
        <v>27767</v>
      </c>
    </row>
    <row r="10" spans="1:12" s="30" customFormat="1" ht="24" customHeight="1">
      <c r="A10" s="144">
        <v>801</v>
      </c>
      <c r="B10" s="164" t="s">
        <v>7</v>
      </c>
      <c r="C10" s="169">
        <f aca="true" t="shared" si="0" ref="C10:J10">C11</f>
        <v>700</v>
      </c>
      <c r="D10" s="169">
        <f t="shared" si="0"/>
        <v>1080</v>
      </c>
      <c r="E10" s="169">
        <f t="shared" si="0"/>
        <v>370</v>
      </c>
      <c r="F10" s="169">
        <f>F11</f>
        <v>551</v>
      </c>
      <c r="G10" s="169">
        <f t="shared" si="0"/>
        <v>200</v>
      </c>
      <c r="H10" s="169">
        <f t="shared" si="0"/>
        <v>313</v>
      </c>
      <c r="I10" s="169">
        <f t="shared" si="0"/>
        <v>1270</v>
      </c>
      <c r="J10" s="169">
        <f t="shared" si="0"/>
        <v>1944</v>
      </c>
      <c r="L10" s="230"/>
    </row>
    <row r="11" spans="1:12" s="80" customFormat="1" ht="22.5" customHeight="1">
      <c r="A11" s="161">
        <v>80101</v>
      </c>
      <c r="B11" s="162" t="s">
        <v>321</v>
      </c>
      <c r="C11" s="125">
        <f aca="true" t="shared" si="1" ref="C11:J11">C12+C13</f>
        <v>700</v>
      </c>
      <c r="D11" s="125">
        <f t="shared" si="1"/>
        <v>1080</v>
      </c>
      <c r="E11" s="125">
        <f t="shared" si="1"/>
        <v>370</v>
      </c>
      <c r="F11" s="125">
        <f t="shared" si="1"/>
        <v>551</v>
      </c>
      <c r="G11" s="125">
        <f t="shared" si="1"/>
        <v>200</v>
      </c>
      <c r="H11" s="125">
        <f t="shared" si="1"/>
        <v>313</v>
      </c>
      <c r="I11" s="125">
        <f t="shared" si="1"/>
        <v>1270</v>
      </c>
      <c r="J11" s="125">
        <f t="shared" si="1"/>
        <v>1944</v>
      </c>
      <c r="L11" s="231"/>
    </row>
    <row r="12" spans="1:12" s="30" customFormat="1" ht="22.5" customHeight="1">
      <c r="A12" s="144"/>
      <c r="B12" s="164" t="s">
        <v>373</v>
      </c>
      <c r="C12" s="169">
        <v>200</v>
      </c>
      <c r="D12" s="169">
        <v>634</v>
      </c>
      <c r="E12" s="169">
        <v>125</v>
      </c>
      <c r="F12" s="169">
        <v>280</v>
      </c>
      <c r="G12" s="169">
        <v>100</v>
      </c>
      <c r="H12" s="169">
        <v>150</v>
      </c>
      <c r="I12" s="169">
        <f>C12+E12+G12</f>
        <v>425</v>
      </c>
      <c r="J12" s="169">
        <f>D12+F12+H12</f>
        <v>1064</v>
      </c>
      <c r="L12" s="230"/>
    </row>
    <row r="13" spans="1:10" s="30" customFormat="1" ht="16.5" customHeight="1">
      <c r="A13" s="144"/>
      <c r="B13" s="164" t="s">
        <v>103</v>
      </c>
      <c r="C13" s="169">
        <v>500</v>
      </c>
      <c r="D13" s="169">
        <v>446</v>
      </c>
      <c r="E13" s="169">
        <f>245</f>
        <v>245</v>
      </c>
      <c r="F13" s="169">
        <v>271</v>
      </c>
      <c r="G13" s="165">
        <v>100</v>
      </c>
      <c r="H13" s="165">
        <v>163</v>
      </c>
      <c r="I13" s="169">
        <f>C13+E13+G13</f>
        <v>845</v>
      </c>
      <c r="J13" s="169">
        <f>D13+F13+H13</f>
        <v>880</v>
      </c>
    </row>
    <row r="14" spans="1:10" s="30" customFormat="1" ht="24" customHeight="1">
      <c r="A14" s="144">
        <v>854</v>
      </c>
      <c r="B14" s="164" t="s">
        <v>48</v>
      </c>
      <c r="C14" s="169">
        <f aca="true" t="shared" si="2" ref="C14:F15">C15</f>
        <v>206700</v>
      </c>
      <c r="D14" s="169">
        <f t="shared" si="2"/>
        <v>168811</v>
      </c>
      <c r="E14" s="169">
        <f t="shared" si="2"/>
        <v>84500</v>
      </c>
      <c r="F14" s="169">
        <f t="shared" si="2"/>
        <v>69166</v>
      </c>
      <c r="G14" s="169"/>
      <c r="H14" s="169"/>
      <c r="I14" s="169">
        <f>I15</f>
        <v>291200</v>
      </c>
      <c r="J14" s="169">
        <f>J15</f>
        <v>237977</v>
      </c>
    </row>
    <row r="15" spans="1:10" s="80" customFormat="1" ht="22.5" customHeight="1">
      <c r="A15" s="161">
        <v>85401</v>
      </c>
      <c r="B15" s="162" t="s">
        <v>49</v>
      </c>
      <c r="C15" s="125">
        <f t="shared" si="2"/>
        <v>206700</v>
      </c>
      <c r="D15" s="125">
        <f t="shared" si="2"/>
        <v>168811</v>
      </c>
      <c r="E15" s="125">
        <f t="shared" si="2"/>
        <v>84500</v>
      </c>
      <c r="F15" s="125">
        <f t="shared" si="2"/>
        <v>69166</v>
      </c>
      <c r="G15" s="125"/>
      <c r="H15" s="125"/>
      <c r="I15" s="125">
        <f>I16</f>
        <v>291200</v>
      </c>
      <c r="J15" s="125">
        <f>J16</f>
        <v>237977</v>
      </c>
    </row>
    <row r="16" spans="1:10" s="30" customFormat="1" ht="25.5">
      <c r="A16" s="144"/>
      <c r="B16" s="168" t="s">
        <v>119</v>
      </c>
      <c r="C16" s="169">
        <v>206700</v>
      </c>
      <c r="D16" s="169">
        <v>168811</v>
      </c>
      <c r="E16" s="169">
        <v>84500</v>
      </c>
      <c r="F16" s="169">
        <v>69166</v>
      </c>
      <c r="G16" s="169"/>
      <c r="H16" s="169"/>
      <c r="I16" s="169">
        <f>C16+E16+G16</f>
        <v>291200</v>
      </c>
      <c r="J16" s="169">
        <f>D16+F16+H16</f>
        <v>237977</v>
      </c>
    </row>
    <row r="17" spans="1:10" s="129" customFormat="1" ht="24" customHeight="1">
      <c r="A17" s="279" t="s">
        <v>342</v>
      </c>
      <c r="B17" s="280"/>
      <c r="C17" s="172">
        <f aca="true" t="shared" si="3" ref="C17:H17">C7+C10+C14</f>
        <v>237900</v>
      </c>
      <c r="D17" s="172">
        <f t="shared" si="3"/>
        <v>197658</v>
      </c>
      <c r="E17" s="172">
        <f t="shared" si="3"/>
        <v>84870</v>
      </c>
      <c r="F17" s="172">
        <f t="shared" si="3"/>
        <v>69717</v>
      </c>
      <c r="G17" s="172">
        <f t="shared" si="3"/>
        <v>200</v>
      </c>
      <c r="H17" s="172">
        <f t="shared" si="3"/>
        <v>313</v>
      </c>
      <c r="I17" s="172">
        <f>C17+E17+G17</f>
        <v>322970</v>
      </c>
      <c r="J17" s="172">
        <f>D17+F17+H17</f>
        <v>267688</v>
      </c>
    </row>
    <row r="18" spans="1:10" s="30" customFormat="1" ht="22.5" customHeight="1">
      <c r="A18" s="282" t="s">
        <v>13</v>
      </c>
      <c r="B18" s="282"/>
      <c r="C18" s="282"/>
      <c r="D18" s="282"/>
      <c r="E18" s="282"/>
      <c r="F18" s="282"/>
      <c r="G18" s="282"/>
      <c r="H18" s="282"/>
      <c r="I18" s="282"/>
      <c r="J18" s="282"/>
    </row>
    <row r="19" spans="1:10" s="30" customFormat="1" ht="18.75" customHeight="1">
      <c r="A19" s="144">
        <v>700</v>
      </c>
      <c r="B19" s="164" t="s">
        <v>1</v>
      </c>
      <c r="C19" s="169">
        <f>C20</f>
        <v>29700</v>
      </c>
      <c r="D19" s="169">
        <f>D20</f>
        <v>27867</v>
      </c>
      <c r="E19" s="169"/>
      <c r="F19" s="169"/>
      <c r="G19" s="169"/>
      <c r="H19" s="169"/>
      <c r="I19" s="169">
        <f>I20</f>
        <v>29700</v>
      </c>
      <c r="J19" s="169">
        <f>J20</f>
        <v>27867</v>
      </c>
    </row>
    <row r="20" spans="1:10" s="80" customFormat="1" ht="19.5" customHeight="1">
      <c r="A20" s="161">
        <v>70005</v>
      </c>
      <c r="B20" s="163" t="s">
        <v>26</v>
      </c>
      <c r="C20" s="125">
        <f>C21</f>
        <v>29700</v>
      </c>
      <c r="D20" s="125">
        <f>D21</f>
        <v>27867</v>
      </c>
      <c r="E20" s="125"/>
      <c r="F20" s="125"/>
      <c r="G20" s="125"/>
      <c r="H20" s="125"/>
      <c r="I20" s="125">
        <f>I21</f>
        <v>29700</v>
      </c>
      <c r="J20" s="125">
        <f>J21</f>
        <v>27867</v>
      </c>
    </row>
    <row r="21" spans="1:10" s="30" customFormat="1" ht="15" customHeight="1">
      <c r="A21" s="144"/>
      <c r="B21" s="164" t="s">
        <v>325</v>
      </c>
      <c r="C21" s="169">
        <f>17700+6130+5870</f>
        <v>29700</v>
      </c>
      <c r="D21" s="169">
        <f>16099+6025+5743</f>
        <v>27867</v>
      </c>
      <c r="E21" s="169"/>
      <c r="F21" s="169"/>
      <c r="G21" s="169"/>
      <c r="H21" s="169"/>
      <c r="I21" s="169">
        <f>C21+E21+G21</f>
        <v>29700</v>
      </c>
      <c r="J21" s="169">
        <f>D21+F21+H21</f>
        <v>27867</v>
      </c>
    </row>
    <row r="22" spans="1:10" s="30" customFormat="1" ht="19.5" customHeight="1">
      <c r="A22" s="144">
        <v>801</v>
      </c>
      <c r="B22" s="164" t="s">
        <v>7</v>
      </c>
      <c r="C22" s="169">
        <f aca="true" t="shared" si="4" ref="C22:H22">C23+C28+C30</f>
        <v>2805389</v>
      </c>
      <c r="D22" s="169">
        <f t="shared" si="4"/>
        <v>2750899</v>
      </c>
      <c r="E22" s="169">
        <f t="shared" si="4"/>
        <v>1443115</v>
      </c>
      <c r="F22" s="169">
        <f t="shared" si="4"/>
        <v>1421009</v>
      </c>
      <c r="G22" s="169">
        <f t="shared" si="4"/>
        <v>1028987</v>
      </c>
      <c r="H22" s="169">
        <f t="shared" si="4"/>
        <v>1027432</v>
      </c>
      <c r="I22" s="169">
        <f>C22+E22+G22</f>
        <v>5277491</v>
      </c>
      <c r="J22" s="169">
        <f>D22+F22+H22</f>
        <v>5199340</v>
      </c>
    </row>
    <row r="23" spans="1:10" s="80" customFormat="1" ht="19.5" customHeight="1">
      <c r="A23" s="161">
        <v>80101</v>
      </c>
      <c r="B23" s="162" t="s">
        <v>321</v>
      </c>
      <c r="C23" s="125">
        <f aca="true" t="shared" si="5" ref="C23:J23">C24</f>
        <v>2795527</v>
      </c>
      <c r="D23" s="125">
        <f t="shared" si="5"/>
        <v>2742052</v>
      </c>
      <c r="E23" s="125">
        <f t="shared" si="5"/>
        <v>1433069</v>
      </c>
      <c r="F23" s="125">
        <f t="shared" si="5"/>
        <v>1412310</v>
      </c>
      <c r="G23" s="125">
        <f t="shared" si="5"/>
        <v>1022667</v>
      </c>
      <c r="H23" s="125">
        <f t="shared" si="5"/>
        <v>1021213</v>
      </c>
      <c r="I23" s="125">
        <f t="shared" si="5"/>
        <v>5251263</v>
      </c>
      <c r="J23" s="125">
        <f t="shared" si="5"/>
        <v>5175575</v>
      </c>
    </row>
    <row r="24" spans="1:10" s="30" customFormat="1" ht="15" customHeight="1">
      <c r="A24" s="144"/>
      <c r="B24" s="164" t="s">
        <v>326</v>
      </c>
      <c r="C24" s="169">
        <f>6615+1831016+140755+346263+47020+29900+4000+225000+30700+500+1700+132058</f>
        <v>2795527</v>
      </c>
      <c r="D24" s="169">
        <f>6615+1803629+140755+339908+46093+29900+3999+206703+30278+443+1671+132058</f>
        <v>2742052</v>
      </c>
      <c r="E24" s="169">
        <f>3200+956343+74917+179433+24442+19225+1500+82000+22100+370+4000+65539</f>
        <v>1433069</v>
      </c>
      <c r="F24" s="169">
        <f>3199+942584+74917+176666+24060+19216+1305+80154+21894+331+2445+65539</f>
        <v>1412310</v>
      </c>
      <c r="G24" s="169">
        <f>3340+726602+56398+132609+18252+10609+11270+9999+310+1550+51728</f>
        <v>1022667</v>
      </c>
      <c r="H24" s="169">
        <f>3333+726291+56398+131699+18064+10608+11233+9999+310+1550+51728</f>
        <v>1021213</v>
      </c>
      <c r="I24" s="169">
        <f aca="true" t="shared" si="6" ref="I24:J27">C24+E24+G24</f>
        <v>5251263</v>
      </c>
      <c r="J24" s="169">
        <f t="shared" si="6"/>
        <v>5175575</v>
      </c>
    </row>
    <row r="25" spans="1:10" s="30" customFormat="1" ht="15" customHeight="1">
      <c r="A25" s="144"/>
      <c r="B25" s="170" t="s">
        <v>328</v>
      </c>
      <c r="C25" s="169">
        <v>1831016</v>
      </c>
      <c r="D25" s="169">
        <v>1803629</v>
      </c>
      <c r="E25" s="169">
        <v>956343</v>
      </c>
      <c r="F25" s="169">
        <v>942584</v>
      </c>
      <c r="G25" s="169">
        <v>726602</v>
      </c>
      <c r="H25" s="169">
        <v>726291</v>
      </c>
      <c r="I25" s="169">
        <f t="shared" si="6"/>
        <v>3513961</v>
      </c>
      <c r="J25" s="169">
        <f t="shared" si="6"/>
        <v>3472504</v>
      </c>
    </row>
    <row r="26" spans="1:10" s="30" customFormat="1" ht="15" customHeight="1">
      <c r="A26" s="144"/>
      <c r="B26" s="170" t="s">
        <v>329</v>
      </c>
      <c r="C26" s="169">
        <f>140755+346263+47020</f>
        <v>534038</v>
      </c>
      <c r="D26" s="169">
        <f>140755+339908+46093</f>
        <v>526756</v>
      </c>
      <c r="E26" s="169">
        <f>74917+179433+24442</f>
        <v>278792</v>
      </c>
      <c r="F26" s="169">
        <f>74917+176666+24060</f>
        <v>275643</v>
      </c>
      <c r="G26" s="169">
        <f>56398+132609+18252</f>
        <v>207259</v>
      </c>
      <c r="H26" s="169">
        <f>56398+131699+18064</f>
        <v>206161</v>
      </c>
      <c r="I26" s="169">
        <f t="shared" si="6"/>
        <v>1020089</v>
      </c>
      <c r="J26" s="169">
        <f t="shared" si="6"/>
        <v>1008560</v>
      </c>
    </row>
    <row r="27" spans="1:10" s="30" customFormat="1" ht="15" customHeight="1">
      <c r="A27" s="144"/>
      <c r="B27" s="170" t="s">
        <v>330</v>
      </c>
      <c r="C27" s="169">
        <f>6615+29900+4000+225000+30700+500+1700+132058</f>
        <v>430473</v>
      </c>
      <c r="D27" s="169">
        <f>6615+29900+3999+206703+30278+443+1671+132058</f>
        <v>411667</v>
      </c>
      <c r="E27" s="169">
        <f>3200+19225+1500+82000+22100+370+4000+65539</f>
        <v>197934</v>
      </c>
      <c r="F27" s="169">
        <f>3199+19216+1305+80154+21894+331+2445+65539</f>
        <v>194083</v>
      </c>
      <c r="G27" s="169">
        <f>3340+10609+11270+9999+310+1550+51728</f>
        <v>88806</v>
      </c>
      <c r="H27" s="169">
        <f>3333+10608+11233+9999+310+1550+51728</f>
        <v>88761</v>
      </c>
      <c r="I27" s="169">
        <f t="shared" si="6"/>
        <v>717213</v>
      </c>
      <c r="J27" s="169">
        <f t="shared" si="6"/>
        <v>694511</v>
      </c>
    </row>
    <row r="28" spans="1:10" s="80" customFormat="1" ht="19.5" customHeight="1">
      <c r="A28" s="161">
        <v>80113</v>
      </c>
      <c r="B28" s="162" t="s">
        <v>327</v>
      </c>
      <c r="C28" s="125">
        <f>C29</f>
        <v>1467</v>
      </c>
      <c r="D28" s="125">
        <f>D29</f>
        <v>1445</v>
      </c>
      <c r="E28" s="125"/>
      <c r="F28" s="125"/>
      <c r="G28" s="125"/>
      <c r="H28" s="125"/>
      <c r="I28" s="125">
        <f>I29</f>
        <v>1467</v>
      </c>
      <c r="J28" s="125">
        <f>J29</f>
        <v>1445</v>
      </c>
    </row>
    <row r="29" spans="1:10" s="30" customFormat="1" ht="15" customHeight="1">
      <c r="A29" s="144"/>
      <c r="B29" s="164" t="s">
        <v>325</v>
      </c>
      <c r="C29" s="169">
        <v>1467</v>
      </c>
      <c r="D29" s="169">
        <v>1445</v>
      </c>
      <c r="E29" s="169"/>
      <c r="F29" s="169"/>
      <c r="G29" s="169"/>
      <c r="H29" s="169"/>
      <c r="I29" s="169">
        <f>C29+E29+G29</f>
        <v>1467</v>
      </c>
      <c r="J29" s="169">
        <f>D29+F29+H29</f>
        <v>1445</v>
      </c>
    </row>
    <row r="30" spans="1:10" s="80" customFormat="1" ht="27" customHeight="1">
      <c r="A30" s="161">
        <v>80146</v>
      </c>
      <c r="B30" s="163" t="s">
        <v>43</v>
      </c>
      <c r="C30" s="125">
        <f aca="true" t="shared" si="7" ref="C30:J30">C31</f>
        <v>8395</v>
      </c>
      <c r="D30" s="125">
        <f t="shared" si="7"/>
        <v>7402</v>
      </c>
      <c r="E30" s="125">
        <f t="shared" si="7"/>
        <v>10046</v>
      </c>
      <c r="F30" s="125">
        <f t="shared" si="7"/>
        <v>8699</v>
      </c>
      <c r="G30" s="125">
        <f t="shared" si="7"/>
        <v>6320</v>
      </c>
      <c r="H30" s="125">
        <f t="shared" si="7"/>
        <v>6219</v>
      </c>
      <c r="I30" s="125">
        <f t="shared" si="7"/>
        <v>24761</v>
      </c>
      <c r="J30" s="125">
        <f t="shared" si="7"/>
        <v>22320</v>
      </c>
    </row>
    <row r="31" spans="1:10" s="30" customFormat="1" ht="15" customHeight="1">
      <c r="A31" s="144"/>
      <c r="B31" s="164" t="s">
        <v>325</v>
      </c>
      <c r="C31" s="169">
        <f>4200+1100+2500+595</f>
        <v>8395</v>
      </c>
      <c r="D31" s="169">
        <f>4040+1049+1950+363</f>
        <v>7402</v>
      </c>
      <c r="E31" s="169">
        <f>4800+2246+2000+1000</f>
        <v>10046</v>
      </c>
      <c r="F31" s="169">
        <f>3555+2237+1968+939</f>
        <v>8699</v>
      </c>
      <c r="G31" s="169">
        <f>2000+4320</f>
        <v>6320</v>
      </c>
      <c r="H31" s="169">
        <f>1900+4319</f>
        <v>6219</v>
      </c>
      <c r="I31" s="169">
        <f>C31+E31+G31</f>
        <v>24761</v>
      </c>
      <c r="J31" s="169">
        <f>D31+F31+H31</f>
        <v>22320</v>
      </c>
    </row>
    <row r="32" spans="1:10" s="30" customFormat="1" ht="19.5" customHeight="1">
      <c r="A32" s="144">
        <v>851</v>
      </c>
      <c r="B32" s="164" t="s">
        <v>44</v>
      </c>
      <c r="C32" s="169">
        <f aca="true" t="shared" si="8" ref="C32:J33">C33</f>
        <v>9000</v>
      </c>
      <c r="D32" s="169">
        <f t="shared" si="8"/>
        <v>8998</v>
      </c>
      <c r="E32" s="169">
        <f t="shared" si="8"/>
        <v>8400</v>
      </c>
      <c r="F32" s="169">
        <f t="shared" si="8"/>
        <v>8396</v>
      </c>
      <c r="G32" s="154">
        <f t="shared" si="8"/>
        <v>5600</v>
      </c>
      <c r="H32" s="169">
        <f t="shared" si="8"/>
        <v>5600</v>
      </c>
      <c r="I32" s="169">
        <f t="shared" si="8"/>
        <v>23000</v>
      </c>
      <c r="J32" s="169">
        <f t="shared" si="8"/>
        <v>22994</v>
      </c>
    </row>
    <row r="33" spans="1:10" s="80" customFormat="1" ht="19.5" customHeight="1">
      <c r="A33" s="161">
        <v>85154</v>
      </c>
      <c r="B33" s="162" t="s">
        <v>45</v>
      </c>
      <c r="C33" s="125">
        <f t="shared" si="8"/>
        <v>9000</v>
      </c>
      <c r="D33" s="125">
        <f t="shared" si="8"/>
        <v>8998</v>
      </c>
      <c r="E33" s="125">
        <f t="shared" si="8"/>
        <v>8400</v>
      </c>
      <c r="F33" s="125">
        <f t="shared" si="8"/>
        <v>8396</v>
      </c>
      <c r="G33" s="125">
        <f t="shared" si="8"/>
        <v>5600</v>
      </c>
      <c r="H33" s="125">
        <f t="shared" si="8"/>
        <v>5600</v>
      </c>
      <c r="I33" s="125">
        <f t="shared" si="8"/>
        <v>23000</v>
      </c>
      <c r="J33" s="125">
        <f t="shared" si="8"/>
        <v>22994</v>
      </c>
    </row>
    <row r="34" spans="1:10" s="30" customFormat="1" ht="15" customHeight="1">
      <c r="A34" s="144"/>
      <c r="B34" s="164" t="s">
        <v>325</v>
      </c>
      <c r="C34" s="169">
        <f>3000+3560+2440</f>
        <v>9000</v>
      </c>
      <c r="D34" s="169">
        <f>3000+3559+2439</f>
        <v>8998</v>
      </c>
      <c r="E34" s="169">
        <f>3000+5400</f>
        <v>8400</v>
      </c>
      <c r="F34" s="169">
        <f>3000+5396</f>
        <v>8396</v>
      </c>
      <c r="G34" s="169">
        <v>5600</v>
      </c>
      <c r="H34" s="169">
        <v>5600</v>
      </c>
      <c r="I34" s="169">
        <f>C34+E34+G34</f>
        <v>23000</v>
      </c>
      <c r="J34" s="169">
        <f>D34+F34+H34</f>
        <v>22994</v>
      </c>
    </row>
    <row r="35" spans="1:10" s="30" customFormat="1" ht="19.5" customHeight="1">
      <c r="A35" s="144">
        <v>854</v>
      </c>
      <c r="B35" s="164" t="s">
        <v>48</v>
      </c>
      <c r="C35" s="169">
        <f aca="true" t="shared" si="9" ref="C35:J35">C36+C41</f>
        <v>386017</v>
      </c>
      <c r="D35" s="169">
        <f t="shared" si="9"/>
        <v>356601</v>
      </c>
      <c r="E35" s="169">
        <f t="shared" si="9"/>
        <v>224533</v>
      </c>
      <c r="F35" s="169">
        <f t="shared" si="9"/>
        <v>195989</v>
      </c>
      <c r="G35" s="169">
        <f t="shared" si="9"/>
        <v>71869</v>
      </c>
      <c r="H35" s="169">
        <f t="shared" si="9"/>
        <v>70477</v>
      </c>
      <c r="I35" s="169">
        <f t="shared" si="9"/>
        <v>682419</v>
      </c>
      <c r="J35" s="169">
        <f t="shared" si="9"/>
        <v>623067</v>
      </c>
    </row>
    <row r="36" spans="1:10" s="80" customFormat="1" ht="19.5" customHeight="1">
      <c r="A36" s="161">
        <v>85401</v>
      </c>
      <c r="B36" s="162" t="s">
        <v>49</v>
      </c>
      <c r="C36" s="125">
        <f aca="true" t="shared" si="10" ref="C36:J36">C37</f>
        <v>361222</v>
      </c>
      <c r="D36" s="125">
        <f t="shared" si="10"/>
        <v>332299</v>
      </c>
      <c r="E36" s="125">
        <f t="shared" si="10"/>
        <v>212978</v>
      </c>
      <c r="F36" s="125">
        <f t="shared" si="10"/>
        <v>184447</v>
      </c>
      <c r="G36" s="125">
        <f t="shared" si="10"/>
        <v>60211</v>
      </c>
      <c r="H36" s="125">
        <f t="shared" si="10"/>
        <v>59850</v>
      </c>
      <c r="I36" s="125">
        <f t="shared" si="10"/>
        <v>634411</v>
      </c>
      <c r="J36" s="125">
        <f t="shared" si="10"/>
        <v>576596</v>
      </c>
    </row>
    <row r="37" spans="1:10" s="30" customFormat="1" ht="15" customHeight="1">
      <c r="A37" s="144"/>
      <c r="B37" s="164" t="s">
        <v>331</v>
      </c>
      <c r="C37" s="169">
        <f>930+184048+15973+35071+4777+3700+100000+4000+12723</f>
        <v>361222</v>
      </c>
      <c r="D37" s="169">
        <f>926+181679+15972+34593+4710+3700+74072+3924+12723</f>
        <v>332299</v>
      </c>
      <c r="E37" s="169">
        <f>1803+109430+8428+19575+2703+2680+56500+1700+10159</f>
        <v>212978</v>
      </c>
      <c r="F37" s="169">
        <f>1457+105907+8428+19053+2632+2673+32779+1359+10159</f>
        <v>184447</v>
      </c>
      <c r="G37" s="169">
        <f>42342+4164+8590+1196+1000+2919</f>
        <v>60211</v>
      </c>
      <c r="H37" s="169">
        <f>42299+4163+8358+1112+999+2919</f>
        <v>59850</v>
      </c>
      <c r="I37" s="169">
        <f aca="true" t="shared" si="11" ref="I37:J40">C37+E37+G37</f>
        <v>634411</v>
      </c>
      <c r="J37" s="169">
        <f t="shared" si="11"/>
        <v>576596</v>
      </c>
    </row>
    <row r="38" spans="1:10" s="30" customFormat="1" ht="15" customHeight="1">
      <c r="A38" s="144"/>
      <c r="B38" s="170" t="s">
        <v>328</v>
      </c>
      <c r="C38" s="169">
        <v>184048</v>
      </c>
      <c r="D38" s="169">
        <v>181679</v>
      </c>
      <c r="E38" s="169">
        <v>109430</v>
      </c>
      <c r="F38" s="169">
        <v>105907</v>
      </c>
      <c r="G38" s="169">
        <v>42342</v>
      </c>
      <c r="H38" s="169">
        <v>42299</v>
      </c>
      <c r="I38" s="169">
        <f t="shared" si="11"/>
        <v>335820</v>
      </c>
      <c r="J38" s="169">
        <f t="shared" si="11"/>
        <v>329885</v>
      </c>
    </row>
    <row r="39" spans="1:10" s="30" customFormat="1" ht="15" customHeight="1">
      <c r="A39" s="144"/>
      <c r="B39" s="170" t="s">
        <v>329</v>
      </c>
      <c r="C39" s="169">
        <f>15973+35071+4777</f>
        <v>55821</v>
      </c>
      <c r="D39" s="169">
        <f>15972+34593+4710</f>
        <v>55275</v>
      </c>
      <c r="E39" s="169">
        <f>8428+19575+2703</f>
        <v>30706</v>
      </c>
      <c r="F39" s="169">
        <f>8428+19053+2632</f>
        <v>30113</v>
      </c>
      <c r="G39" s="169">
        <f>4164+8590+1196</f>
        <v>13950</v>
      </c>
      <c r="H39" s="169">
        <f>4163+8358+1112</f>
        <v>13633</v>
      </c>
      <c r="I39" s="169">
        <f t="shared" si="11"/>
        <v>100477</v>
      </c>
      <c r="J39" s="169">
        <f t="shared" si="11"/>
        <v>99021</v>
      </c>
    </row>
    <row r="40" spans="1:10" s="30" customFormat="1" ht="15" customHeight="1">
      <c r="A40" s="144"/>
      <c r="B40" s="170" t="s">
        <v>330</v>
      </c>
      <c r="C40" s="169">
        <f>930+3700+100000+4000+12723</f>
        <v>121353</v>
      </c>
      <c r="D40" s="169">
        <f>926+3700+74072+3924+12723</f>
        <v>95345</v>
      </c>
      <c r="E40" s="169">
        <f>1803+2680+56500+1700+10159</f>
        <v>72842</v>
      </c>
      <c r="F40" s="169">
        <f>1457+2673+32779+1359+10159</f>
        <v>48427</v>
      </c>
      <c r="G40" s="169">
        <f>1000+2919</f>
        <v>3919</v>
      </c>
      <c r="H40" s="169">
        <f>999+2919</f>
        <v>3918</v>
      </c>
      <c r="I40" s="169">
        <f t="shared" si="11"/>
        <v>198114</v>
      </c>
      <c r="J40" s="169">
        <f t="shared" si="11"/>
        <v>147690</v>
      </c>
    </row>
    <row r="41" spans="1:10" s="80" customFormat="1" ht="19.5" customHeight="1">
      <c r="A41" s="161">
        <v>85415</v>
      </c>
      <c r="B41" s="162" t="s">
        <v>200</v>
      </c>
      <c r="C41" s="125">
        <f aca="true" t="shared" si="12" ref="C41:J41">C42</f>
        <v>24795</v>
      </c>
      <c r="D41" s="125">
        <f t="shared" si="12"/>
        <v>24302</v>
      </c>
      <c r="E41" s="125">
        <f t="shared" si="12"/>
        <v>11555</v>
      </c>
      <c r="F41" s="125">
        <f t="shared" si="12"/>
        <v>11542</v>
      </c>
      <c r="G41" s="125">
        <f t="shared" si="12"/>
        <v>11658</v>
      </c>
      <c r="H41" s="125">
        <f t="shared" si="12"/>
        <v>10627</v>
      </c>
      <c r="I41" s="125">
        <f t="shared" si="12"/>
        <v>48008</v>
      </c>
      <c r="J41" s="125">
        <f t="shared" si="12"/>
        <v>46471</v>
      </c>
    </row>
    <row r="42" spans="1:10" s="30" customFormat="1" ht="13.5" customHeight="1">
      <c r="A42" s="144"/>
      <c r="B42" s="164" t="s">
        <v>325</v>
      </c>
      <c r="C42" s="169">
        <v>24795</v>
      </c>
      <c r="D42" s="169">
        <v>24302</v>
      </c>
      <c r="E42" s="169">
        <v>11555</v>
      </c>
      <c r="F42" s="169">
        <v>11542</v>
      </c>
      <c r="G42" s="169">
        <v>11658</v>
      </c>
      <c r="H42" s="169">
        <v>10627</v>
      </c>
      <c r="I42" s="169">
        <f>C42+E42+G42</f>
        <v>48008</v>
      </c>
      <c r="J42" s="169">
        <f>D42+F42+H42</f>
        <v>46471</v>
      </c>
    </row>
    <row r="43" spans="1:10" s="129" customFormat="1" ht="22.5" customHeight="1">
      <c r="A43" s="281" t="s">
        <v>343</v>
      </c>
      <c r="B43" s="281"/>
      <c r="C43" s="172">
        <f aca="true" t="shared" si="13" ref="C43:J43">C19+C22+C32+C35</f>
        <v>3230106</v>
      </c>
      <c r="D43" s="172">
        <f t="shared" si="13"/>
        <v>3144365</v>
      </c>
      <c r="E43" s="172">
        <f t="shared" si="13"/>
        <v>1676048</v>
      </c>
      <c r="F43" s="172">
        <f t="shared" si="13"/>
        <v>1625394</v>
      </c>
      <c r="G43" s="172">
        <f t="shared" si="13"/>
        <v>1106456</v>
      </c>
      <c r="H43" s="172">
        <f t="shared" si="13"/>
        <v>1103509</v>
      </c>
      <c r="I43" s="172">
        <f t="shared" si="13"/>
        <v>6012610</v>
      </c>
      <c r="J43" s="172">
        <f t="shared" si="13"/>
        <v>5873268</v>
      </c>
    </row>
    <row r="44" spans="1:10" s="30" customFormat="1" ht="12.75">
      <c r="A44" s="171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s="30" customFormat="1" ht="12.75">
      <c r="A45" s="171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s="30" customFormat="1" ht="12.75">
      <c r="A46" s="171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30" customFormat="1" ht="12.75">
      <c r="A47" s="171"/>
      <c r="B47" s="173"/>
      <c r="C47" s="173"/>
      <c r="D47" s="173"/>
      <c r="E47" s="232"/>
      <c r="F47" s="173"/>
      <c r="G47" s="173"/>
      <c r="H47" s="173"/>
      <c r="I47" s="173"/>
      <c r="J47" s="173"/>
    </row>
    <row r="48" spans="1:10" s="30" customFormat="1" ht="12.75">
      <c r="A48" s="171"/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s="30" customFormat="1" ht="12.75">
      <c r="A49" s="171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s="30" customFormat="1" ht="12.75">
      <c r="A50" s="171"/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s="30" customFormat="1" ht="12.75">
      <c r="A51" s="171"/>
      <c r="B51" s="173"/>
      <c r="C51" s="173"/>
      <c r="D51" s="173"/>
      <c r="E51" s="173"/>
      <c r="F51" s="173"/>
      <c r="G51" s="173"/>
      <c r="H51" s="173"/>
      <c r="I51" s="173"/>
      <c r="J51" s="173"/>
    </row>
    <row r="52" spans="1:10" s="30" customFormat="1" ht="12.75">
      <c r="A52" s="171"/>
      <c r="B52" s="173"/>
      <c r="C52" s="173"/>
      <c r="D52" s="173"/>
      <c r="E52" s="173"/>
      <c r="F52" s="173"/>
      <c r="G52" s="173"/>
      <c r="H52" s="173"/>
      <c r="I52" s="173"/>
      <c r="J52" s="173"/>
    </row>
    <row r="53" spans="1:10" s="30" customFormat="1" ht="12.75">
      <c r="A53" s="171"/>
      <c r="B53" s="173"/>
      <c r="C53" s="173"/>
      <c r="D53" s="173"/>
      <c r="E53" s="173"/>
      <c r="F53" s="173"/>
      <c r="G53" s="173"/>
      <c r="H53" s="173"/>
      <c r="I53" s="173"/>
      <c r="J53" s="173"/>
    </row>
    <row r="54" spans="1:10" s="30" customFormat="1" ht="12.75">
      <c r="A54" s="171"/>
      <c r="B54" s="174"/>
      <c r="C54" s="174"/>
      <c r="D54" s="174"/>
      <c r="E54" s="174"/>
      <c r="F54" s="174"/>
      <c r="G54" s="174"/>
      <c r="H54" s="174"/>
      <c r="I54" s="173"/>
      <c r="J54" s="173"/>
    </row>
    <row r="55" spans="1:10" s="30" customFormat="1" ht="12.75">
      <c r="A55" s="171"/>
      <c r="B55" s="174"/>
      <c r="C55" s="174"/>
      <c r="D55" s="174"/>
      <c r="E55" s="174"/>
      <c r="F55" s="174"/>
      <c r="G55" s="174"/>
      <c r="H55" s="174"/>
      <c r="I55" s="173"/>
      <c r="J55" s="173"/>
    </row>
    <row r="56" spans="1:10" s="30" customFormat="1" ht="12.75">
      <c r="A56" s="171"/>
      <c r="B56" s="174"/>
      <c r="C56" s="174"/>
      <c r="D56" s="174"/>
      <c r="E56" s="174"/>
      <c r="F56" s="174"/>
      <c r="G56" s="174"/>
      <c r="H56" s="174"/>
      <c r="I56" s="173"/>
      <c r="J56" s="173"/>
    </row>
    <row r="57" spans="1:10" s="30" customFormat="1" ht="12.75">
      <c r="A57" s="171"/>
      <c r="B57" s="174"/>
      <c r="C57" s="174"/>
      <c r="D57" s="174"/>
      <c r="E57" s="174"/>
      <c r="F57" s="174"/>
      <c r="G57" s="174"/>
      <c r="H57" s="174"/>
      <c r="I57" s="173"/>
      <c r="J57" s="173"/>
    </row>
    <row r="58" spans="9:10" ht="12.75">
      <c r="I58" s="6"/>
      <c r="J58" s="6"/>
    </row>
    <row r="59" spans="9:10" ht="12.75">
      <c r="I59" s="6"/>
      <c r="J59" s="6"/>
    </row>
  </sheetData>
  <mergeCells count="11">
    <mergeCell ref="A17:B17"/>
    <mergeCell ref="A43:B43"/>
    <mergeCell ref="A18:J18"/>
    <mergeCell ref="I6:J6"/>
    <mergeCell ref="G6:H6"/>
    <mergeCell ref="C6:D6"/>
    <mergeCell ref="E6:F6"/>
    <mergeCell ref="A1:J1"/>
    <mergeCell ref="A2:J2"/>
    <mergeCell ref="A5:J5"/>
    <mergeCell ref="A3:J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2006-05-31T06:32:13Z</cp:lastPrinted>
  <dcterms:created xsi:type="dcterms:W3CDTF">1997-02-26T13:46:56Z</dcterms:created>
  <dcterms:modified xsi:type="dcterms:W3CDTF">2006-05-31T06:35:04Z</dcterms:modified>
  <cp:category/>
  <cp:version/>
  <cp:contentType/>
  <cp:contentStatus/>
</cp:coreProperties>
</file>