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firstSheet="2" activeTab="4"/>
  </bookViews>
  <sheets>
    <sheet name="Zał-7" sheetId="1" r:id="rId1"/>
    <sheet name="Zał-6" sheetId="2" r:id="rId2"/>
    <sheet name="Zał 11-2" sheetId="3" r:id="rId3"/>
    <sheet name="11-3 Prognoza" sheetId="4" r:id="rId4"/>
    <sheet name="Zał 11-1" sheetId="5" r:id="rId5"/>
    <sheet name="Załącznik 10" sheetId="6" r:id="rId6"/>
    <sheet name="Zał4" sheetId="7" r:id="rId7"/>
    <sheet name="Zał5" sheetId="8" r:id="rId8"/>
    <sheet name="Zał9" sheetId="9" r:id="rId9"/>
    <sheet name="Zał8" sheetId="10" r:id="rId10"/>
    <sheet name="Zał1" sheetId="11" r:id="rId11"/>
    <sheet name="Zał2" sheetId="12" r:id="rId12"/>
    <sheet name="Zał3" sheetId="13" r:id="rId13"/>
  </sheets>
  <definedNames/>
  <calcPr fullCalcOnLoad="1"/>
</workbook>
</file>

<file path=xl/sharedStrings.xml><?xml version="1.0" encoding="utf-8"?>
<sst xmlns="http://schemas.openxmlformats.org/spreadsheetml/2006/main" count="745" uniqueCount="398">
  <si>
    <t>Wyszczególnienie</t>
  </si>
  <si>
    <t>GOSPODARKA MIESZKANIOWA</t>
  </si>
  <si>
    <t>ADMINISTRACJA PUBLICZNA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</si>
  <si>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</si>
  <si>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</si>
  <si>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</si>
  <si>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Obrona cywilna</t>
  </si>
  <si>
    <t>OŚWIATA I WYCHOWANIE</t>
  </si>
  <si>
    <t>POMOC SPOŁECZNA</t>
  </si>
  <si>
    <t>KULTURA FIZYCZNA I SPORT</t>
  </si>
  <si>
    <t>OGÓŁEM</t>
  </si>
  <si>
    <t>DZIAŁ</t>
  </si>
  <si>
    <t>Kwota zł</t>
  </si>
  <si>
    <t>Dział</t>
  </si>
  <si>
    <t>WYDATKI</t>
  </si>
  <si>
    <t>a) wydatki bieżące, w tym:</t>
  </si>
  <si>
    <t>- wynagrodzenia i pochodne od wynagrodzeń</t>
  </si>
  <si>
    <t>a) wydatki bieżące</t>
  </si>
  <si>
    <t>OPIEKA SPOŁECZNA</t>
  </si>
  <si>
    <t>Składki na ubezpieczenia zdrowotne opłacane za osoby pobierające niektóre świadczenia z pomocy społecznej</t>
  </si>
  <si>
    <t>Zasiłki i pomoc w naturze oraz składki na ubezpieczenia społeczne</t>
  </si>
  <si>
    <t>Ośrodki pomocy społecznej</t>
  </si>
  <si>
    <t>a) wydatki majątkowe</t>
  </si>
  <si>
    <t>ROLNICTWO</t>
  </si>
  <si>
    <t>Izby rolnicze</t>
  </si>
  <si>
    <t>Pozostała działalność</t>
  </si>
  <si>
    <t>TRANSPORT I ŁĄCZNOŚĆ</t>
  </si>
  <si>
    <t>Drogi publiczne gminne</t>
  </si>
  <si>
    <t>Gospodarka gruntami i nieruchomościami</t>
  </si>
  <si>
    <t>DZIAŁALNOŚĆ USŁUGOWA</t>
  </si>
  <si>
    <t>Plany zagospodarowania przestrzennego</t>
  </si>
  <si>
    <t>Cmentarze</t>
  </si>
  <si>
    <t>Urzędy Wojewódzkie</t>
  </si>
  <si>
    <t>Rady gmin</t>
  </si>
  <si>
    <t>Urzędy gmin</t>
  </si>
  <si>
    <t>Ochotnicze straże pożarne</t>
  </si>
  <si>
    <t>DOCHODY OD OSÓB PRAWNYCH , OD OSÓB FIZYCZNYCH  I OD INNYCH JEDNOSTEK NIEPOSIADAJĄCYCH OSOBOWOŚCI PRAWNEJ  ORAZ  WYDATKI ZWIĄZANE Z ICH POBOREM</t>
  </si>
  <si>
    <t>Pobór podatków, opłat i niepodatkowych należności budżetowych</t>
  </si>
  <si>
    <t>OBSŁUGA DŁUGU PUBLICZNEGO</t>
  </si>
  <si>
    <t>RÓŻNE ROZLICZENIA</t>
  </si>
  <si>
    <t>Rezerwy ogólne i celowe</t>
  </si>
  <si>
    <t xml:space="preserve">Rezerwy </t>
  </si>
  <si>
    <t>Szkoły podstawowe</t>
  </si>
  <si>
    <t>Przedszkola</t>
  </si>
  <si>
    <t>Gimnazja</t>
  </si>
  <si>
    <t>Dowożenie uczniów do szkół</t>
  </si>
  <si>
    <t>Dokształcanie i doskonalenie zawodowe nauczycieli</t>
  </si>
  <si>
    <t>OCHRONA ZDROWIA</t>
  </si>
  <si>
    <t>Przeciwdziałanie alkoholizmowi</t>
  </si>
  <si>
    <t>Dodatki mieszkaniowe</t>
  </si>
  <si>
    <t>EDUKACYJNA OPIEKA WYCHOWAWCZA</t>
  </si>
  <si>
    <t>Świetlice szkolne</t>
  </si>
  <si>
    <t>Gospodarka ściekowa i ochrona wód</t>
  </si>
  <si>
    <t>Oczyszczanie miast i wsi</t>
  </si>
  <si>
    <t>Utrzymanie zieleni w miastach i gminach</t>
  </si>
  <si>
    <t>Oświetlenie ulic, placów, dróg</t>
  </si>
  <si>
    <t>KULTURA I OCHRONA DZIEDZICTWA NARODOWEGO</t>
  </si>
  <si>
    <t>Domy i ośrodki kultury, świetlice i kluby</t>
  </si>
  <si>
    <t>Biblioteki</t>
  </si>
  <si>
    <t>Instytucje kultury fizycznej</t>
  </si>
  <si>
    <t>Zadania w zakresie kultury fizycznej i sportu</t>
  </si>
  <si>
    <t>OGÓŁEM  WYDATKI</t>
  </si>
  <si>
    <t>Klasyfikacja</t>
  </si>
  <si>
    <t>010</t>
  </si>
  <si>
    <t>01030</t>
  </si>
  <si>
    <t>01095</t>
  </si>
  <si>
    <t>b) wydatki majątkowe</t>
  </si>
  <si>
    <t>- dotacje</t>
  </si>
  <si>
    <t>Obsługa papierów wartościowych, kredytów i pożyczek jednostek samorządu terytorialnego</t>
  </si>
  <si>
    <t>- obsługa długu jednostek samorządu terytorialnego</t>
  </si>
  <si>
    <t>- rezerwa ogólna</t>
  </si>
  <si>
    <t>a) wydatki inwestycyjne</t>
  </si>
  <si>
    <t>Załącznik Nr 2</t>
  </si>
  <si>
    <t>Rozdział</t>
  </si>
  <si>
    <t>Stan funduszu obrotowego na początek roku</t>
  </si>
  <si>
    <t>Przychody</t>
  </si>
  <si>
    <t>Wydatki</t>
  </si>
  <si>
    <t>Stan funduszu obrotowego na koniec roku</t>
  </si>
  <si>
    <t>Miejski Zakład Wodociągów i Kanalizacji</t>
  </si>
  <si>
    <t>Oczyszczalnia Ścieków</t>
  </si>
  <si>
    <t>Miejski Zakład Usług Komunalnych</t>
  </si>
  <si>
    <t>Miejski Zakład Budynków Mieszkalnych</t>
  </si>
  <si>
    <t>80104</t>
  </si>
  <si>
    <t>Lp.</t>
  </si>
  <si>
    <t>Stan funduszu na początek roku</t>
  </si>
  <si>
    <t>II.</t>
  </si>
  <si>
    <t>I.</t>
  </si>
  <si>
    <t>PRZYCHODY</t>
  </si>
  <si>
    <t>1.</t>
  </si>
  <si>
    <t>2.</t>
  </si>
  <si>
    <t>Wpływy z tytułu kar i opłat za usuwanie drzew i krzewów</t>
  </si>
  <si>
    <t>3.</t>
  </si>
  <si>
    <t>Ogółem</t>
  </si>
  <si>
    <t>III.</t>
  </si>
  <si>
    <t>Edukacja ekologiczna oraz propagowanie działań proekologicznych i zasady zrównoważonego rozwoju</t>
  </si>
  <si>
    <t>Wspomaganie systemów kontrolno - pomiarowych stanu środowiska</t>
  </si>
  <si>
    <t>Realizowanie zadań modernizacyjnych i inwestycyjnych , służących ochronie środowiska i gospodarki wodnej</t>
  </si>
  <si>
    <t>4.</t>
  </si>
  <si>
    <t>Urządzenie i utrzymywanie terenów zieleni</t>
  </si>
  <si>
    <t>5.</t>
  </si>
  <si>
    <t>Inne zadania służące ochronie środowiska</t>
  </si>
  <si>
    <t>IV.</t>
  </si>
  <si>
    <t>Stan funduszu na koniec roku</t>
  </si>
  <si>
    <t>Kanalizacja sanitarna Kąty</t>
  </si>
  <si>
    <t>Załącznik nr 5</t>
  </si>
  <si>
    <t>Załącznik Nr 4</t>
  </si>
  <si>
    <t>Przychody z zaciągniętych kredytów i pożyczek na rynku krajowym</t>
  </si>
  <si>
    <t>ROZCHODY</t>
  </si>
  <si>
    <t>Spłaty otrzymanych kredytów i pożyczek</t>
  </si>
  <si>
    <t>Lp</t>
  </si>
  <si>
    <t>Nazwa zadania na które zaciągnięto kredyt, pożyczkę</t>
  </si>
  <si>
    <t>Instytucja kredytująca</t>
  </si>
  <si>
    <t>Kapitał</t>
  </si>
  <si>
    <t>Odsetki</t>
  </si>
  <si>
    <t>BGŻ  S.A. O/Rzeszów</t>
  </si>
  <si>
    <t>WFOŚ i GW Rzeszów</t>
  </si>
  <si>
    <t>WFOŚ i GW</t>
  </si>
  <si>
    <t>Modrnizacja Przedszkola Miejskiego</t>
  </si>
  <si>
    <t>Uzbrojenie Oś. Bażantarnia</t>
  </si>
  <si>
    <t>Budowa ul.Lisa Kuli</t>
  </si>
  <si>
    <t>Rok podjęcia kredytu, pożyczki</t>
  </si>
  <si>
    <t>Kanlizacja sanitarna południe  - Wschód</t>
  </si>
  <si>
    <t>Kanalizacja sanitarna Podzwierzyniec</t>
  </si>
  <si>
    <t xml:space="preserve">Hala sportowa </t>
  </si>
  <si>
    <t>INVEST - BANK</t>
  </si>
  <si>
    <t>Razem</t>
  </si>
  <si>
    <t xml:space="preserve">Kwota </t>
  </si>
  <si>
    <t>Spłata zadłużenia w latach</t>
  </si>
  <si>
    <t>zadłużenia</t>
  </si>
  <si>
    <t>Kanalizacja sanitarna Południe - Wschód</t>
  </si>
  <si>
    <t>75647</t>
  </si>
  <si>
    <t>Wpływy z opłat za składowanie odpadów  i kar za pozostałe rodzaje gospodarczego korzystania z wód i urządzeń wodnych</t>
  </si>
  <si>
    <t>Załącznik Nr 8</t>
  </si>
  <si>
    <t>2003/2004</t>
  </si>
  <si>
    <t xml:space="preserve">Załącznik Nr  1  </t>
  </si>
  <si>
    <t>WYSZCZEGÓLNIENIE</t>
  </si>
  <si>
    <t xml:space="preserve">Plan </t>
  </si>
  <si>
    <t>wpływy z opłat za zarząd 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</si>
  <si>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</si>
  <si>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wpłaty z tytułu nabycia prawa własności nieruchomości</t>
  </si>
  <si>
    <t xml:space="preserve">wpływy z różnych dochodów </t>
  </si>
  <si>
    <t>dotacje celowe otrzymane z budżetu państwa na realizację zadań bieżących z zakresu administracji rządowej oraz innych zadań zleconych gminie ustawami</t>
  </si>
  <si>
    <t xml:space="preserve">5% dochodów uzyskiwanych na rzecz budżetu państwaw związku z realizacją zadań z zakresu administracji rządowej </t>
  </si>
  <si>
    <t>wpływy z różnych dochodów</t>
  </si>
  <si>
    <t>DOCHODY OD OSÓB PRAWNYCH ,  OD OSÓB FIZYCZNYCH  I  OD INNYCH JEDNOSTEK NIEPOSIADAJĄCYCH OSOBOWOŚCI PRAWNEJ  ORAZ WYDATKI ZWIĄZANE Z  ICH POBOREM</t>
  </si>
  <si>
    <t>podatek od działalności gospodarczej osób fizycznych, opłacany w formie karty podatkowej</t>
  </si>
  <si>
    <t>podatek od nieruchomości od osób prawnych</t>
  </si>
  <si>
    <t>podatek od nieruchomości od osób fizycznych</t>
  </si>
  <si>
    <t>podatek rolny</t>
  </si>
  <si>
    <t>podatek od środków transportowych</t>
  </si>
  <si>
    <t>podatek od spadków i darowizn</t>
  </si>
  <si>
    <t>podatek od posiadania psów</t>
  </si>
  <si>
    <t>wpływy z opłaty targowej</t>
  </si>
  <si>
    <t xml:space="preserve">wpływy z opłaty administracyjnej za czynności urzędowe </t>
  </si>
  <si>
    <t>podatek od czynności cywilnoprawnych</t>
  </si>
  <si>
    <t>odsetki od nieterminowych wpłat z tytułu podatków i opłat</t>
  </si>
  <si>
    <t>wpływy z opłaty skarbowej</t>
  </si>
  <si>
    <t>wpływy z opłat za zezwolenia na sprzedaż alkoholu</t>
  </si>
  <si>
    <t>dotacja z Państwowego Funduszu Rehabilitacji Osób Niepełnosprawnych na zrekompensowanie utraconych przez gminę dochodów na skutek zwolnień ustawowych z podatków  lokalnych</t>
  </si>
  <si>
    <t>udziały we wpływach z podatku dochodowego od osób fizycznych</t>
  </si>
  <si>
    <t>udziały we wpływach z podatku dochodowego od osób prawnych</t>
  </si>
  <si>
    <t>część oświatowa subwencji ogólnej dla jednostek samorządu trytorialnego</t>
  </si>
  <si>
    <t>odsetki od środków na rachunku bankowym</t>
  </si>
  <si>
    <t>wpływy z opłaty stałej  przedszkoli</t>
  </si>
  <si>
    <t>dotacje celowe otrzymane z budżetu państwa na realizację własnych zadań bieżących gmin</t>
  </si>
  <si>
    <t>wpływy z opłat za korzystanie z obiektów sportowych</t>
  </si>
  <si>
    <t>wpływy z odpłatności za żywienie uczniów w szkołach</t>
  </si>
  <si>
    <t>wpływy z odpłatności za usługi opiekuńcze</t>
  </si>
  <si>
    <t>wpływy z odpłatności za żywienie uczniów w przedszkolach</t>
  </si>
  <si>
    <t>WYTWARZANIE I ZAOPATRYWANIE W ENERGIĘ, GAZ I WODĘ</t>
  </si>
  <si>
    <t>Przebudowa Stacji Uzdatniania Wody w Woli Małej</t>
  </si>
  <si>
    <t>Zakup sprzętu komputerowego</t>
  </si>
  <si>
    <t>GOSPODARKA KOMUNALNA I OCHRONA I OCHRONA ŚRODOWISKA</t>
  </si>
  <si>
    <t>Kanalizacja sanitarna dzielnicy Płd-Wsch, ul. Kościuszki</t>
  </si>
  <si>
    <t>Hala sportowa i basen</t>
  </si>
  <si>
    <t>Załącznik Nr 3</t>
  </si>
  <si>
    <t xml:space="preserve">Dotacje celowe otrzymane z budżetu państwa na realizację zadań bieżących z zakresu administracji rządowej oraz innych zadań zleconych gminie ustawami </t>
  </si>
  <si>
    <t>Dotacje celowe otrzymane z budżetu państwa na realizację zadań bieżących z zakresu administracji rządowej oraz innych zadań zleconych gminie ustawami</t>
  </si>
  <si>
    <t xml:space="preserve">OGÓŁEM </t>
  </si>
  <si>
    <t>Urzędy wojewódzkie</t>
  </si>
  <si>
    <t>URZĘDYNACZELNYCH ORGANÓW WŁADZY PAŃSTWOWEJ, KONTROLI I OCHRONY PRAWA ORAZ SĄDOWNICTWA</t>
  </si>
  <si>
    <t xml:space="preserve">Świadczenia rodzinne oraz skłądki na ubezpieczenia emerytalne i rentowe z ubezpieczenia społecznego </t>
  </si>
  <si>
    <t xml:space="preserve">DOCHODY </t>
  </si>
  <si>
    <t>- wynagrodznia i pochodne od wynagrodzeń</t>
  </si>
  <si>
    <t>400</t>
  </si>
  <si>
    <t>40002</t>
  </si>
  <si>
    <t>Dostarczanie wody</t>
  </si>
  <si>
    <t>80145</t>
  </si>
  <si>
    <t>Komisje egzaminacyjne</t>
  </si>
  <si>
    <t>85212</t>
  </si>
  <si>
    <t>Świadczenia rodzinne oraz składki na ubezpieczenia emerytalne i rentowe z ubezpieczenia społecznego</t>
  </si>
  <si>
    <t>854</t>
  </si>
  <si>
    <t>Pozostałe zadania w zakresie kultury</t>
  </si>
  <si>
    <t>853</t>
  </si>
  <si>
    <t>POZOSTAŁE ZADANIA W ZAKRESIE POLITYKI SPOŁECZNEJ</t>
  </si>
  <si>
    <t>85395</t>
  </si>
  <si>
    <t>wpływy z opłat za zajęcie pasa drogowego</t>
  </si>
  <si>
    <t>Kwartał</t>
  </si>
  <si>
    <t>I</t>
  </si>
  <si>
    <t>II</t>
  </si>
  <si>
    <t>III</t>
  </si>
  <si>
    <t>IV</t>
  </si>
  <si>
    <t>Rok</t>
  </si>
  <si>
    <t xml:space="preserve">Razem </t>
  </si>
  <si>
    <t xml:space="preserve">Zadłużenie na koniec kwartału </t>
  </si>
  <si>
    <t>Kwota zadłużenia na dzień 31.12.2005</t>
  </si>
  <si>
    <t>Modernizacja Stacji Uzdatniania Wody w Woli Małej koło Łańcuta</t>
  </si>
  <si>
    <t>BS ŁAŃCUT</t>
  </si>
  <si>
    <t>Pożyczka pomostowa na sfinansowanie kosztów zadania realizowanego z udziałem środków Unii Europejskiej</t>
  </si>
  <si>
    <t>ROK</t>
  </si>
  <si>
    <t>31.12.2006</t>
  </si>
  <si>
    <t>PRZYCHODY I WYDATKI ZAKŁADÓW BUDŻETOWYCH W 2006R</t>
  </si>
  <si>
    <t xml:space="preserve">DOCHODY I WYDATKI ZWIĄZANE Z REALIZACJĄ ZADAŃ Z ZAKRESU ADMINISTRACJI RZĄDOWEJ ZLECONYCH GMINIE  W 2006 R </t>
  </si>
  <si>
    <t>WYDATKI BUDŻETOWE NA 2006 R</t>
  </si>
  <si>
    <t>DOCHODY BUDŻETOWE NA 2006 R</t>
  </si>
  <si>
    <t>WYDATKI NA REALIZACJĘ INWESTCJI W 2006 R</t>
  </si>
  <si>
    <t>Basen kryty</t>
  </si>
  <si>
    <t>Hala sportowa</t>
  </si>
  <si>
    <t xml:space="preserve">Pożyczka WFOŚ i GW </t>
  </si>
  <si>
    <t xml:space="preserve">Kredyt </t>
  </si>
  <si>
    <t>z tego:</t>
  </si>
  <si>
    <t>Kredyt BGŻ S.A. Rzeszów</t>
  </si>
  <si>
    <t>Pożyczki WFOŚiGW</t>
  </si>
  <si>
    <t>Kredyt BS ŁAŃCUT</t>
  </si>
  <si>
    <t>Kredyt INVEST - BANK S.A. O/Rzeszów</t>
  </si>
  <si>
    <t>Hala sportowa i basen kryty</t>
  </si>
  <si>
    <t>Kredyt</t>
  </si>
  <si>
    <t>Kanalizacja sanitarna Płd-Wsch</t>
  </si>
  <si>
    <t xml:space="preserve">Pożyczka  WFOŚiGW </t>
  </si>
  <si>
    <t>Kwota zdłużenia na koniec kwartału 2006 roku</t>
  </si>
  <si>
    <t>Obsługa zadłużenia w 2006 r</t>
  </si>
  <si>
    <t>Zadłużenie na koniec kwartału</t>
  </si>
  <si>
    <t>II.PROGNOZA ŁĄCZNEJ KWOTY DŁUGU PUBLICZNEGO GMINY MIASTA ŁAŃCUTA NA LATA 2006-2014</t>
  </si>
  <si>
    <t>DOCHODY BUDŻETU</t>
  </si>
  <si>
    <t>I. PROGNOZA ŁĄCZNEJ KWOTY DŁUGU MIASTA ŁAŃCUTA NA DZIEŃ 31 GRUDNIA 2006 ROKU</t>
  </si>
  <si>
    <t xml:space="preserve">WYTWARZANIE I ZAOPATRYWANIE W ENERGIĘ ELEKTRYCZNĄ, GAZ I WODĘ </t>
  </si>
  <si>
    <t>Środki na dofinansowanie własnych inwestycji z Europejskiego Funduszu Rozwoju Regionalnego</t>
  </si>
  <si>
    <t>Dotacje celowe otrzymane z budżetu państwa na realizację inwestycji</t>
  </si>
  <si>
    <t>wpływy z najmu lokali</t>
  </si>
  <si>
    <t xml:space="preserve"> wpływy z różnych dochodów, w tym odsetki od środków na rachunkach bankowych</t>
  </si>
  <si>
    <t>wpływy z najmu  i dzierżawy składników mjątkowych</t>
  </si>
  <si>
    <t>85228</t>
  </si>
  <si>
    <t>Usługi opiekuńcze i specjalistyczne usługi opiekuńcze</t>
  </si>
  <si>
    <t>DOCHODY PODLEGAJĄCE ROZLICZENIU Z BUDŻETEM PAŃSTWA</t>
  </si>
  <si>
    <t>Plan finansowy Gminnego Funduszu Ochrony Środowiska i Gospodarki Wodnej na 2006 r</t>
  </si>
  <si>
    <t>Załącznik Nr 9</t>
  </si>
  <si>
    <t>Załącznik Nr 10</t>
  </si>
  <si>
    <t>Klasyfikacja budżetowa</t>
  </si>
  <si>
    <t>Nazwa i cel programu</t>
  </si>
  <si>
    <t>Nazwa zadania</t>
  </si>
  <si>
    <t>Okres realizacji</t>
  </si>
  <si>
    <t>Rok rozpoczęcia</t>
  </si>
  <si>
    <t>Rok zakończenia</t>
  </si>
  <si>
    <t>Jednostka realizująca</t>
  </si>
  <si>
    <t>Limity wydatków w roku budżetowym i w dwóch kolejnych latach ( zł )</t>
  </si>
  <si>
    <t>2006</t>
  </si>
  <si>
    <t>2007</t>
  </si>
  <si>
    <t>2008</t>
  </si>
  <si>
    <t>Szacunkowa wartość zadania ( zł )</t>
  </si>
  <si>
    <t>KULTURA</t>
  </si>
  <si>
    <t>FIZYCZNA</t>
  </si>
  <si>
    <t>I SPORT</t>
  </si>
  <si>
    <t>Pozostała</t>
  </si>
  <si>
    <t>działalność</t>
  </si>
  <si>
    <t>Tworzenie warunków</t>
  </si>
  <si>
    <t>kultury fizycznej</t>
  </si>
  <si>
    <t xml:space="preserve">organizacyjnych dla rozwoju </t>
  </si>
  <si>
    <t>REKREACYJNO-SPORTOWEGO</t>
  </si>
  <si>
    <t xml:space="preserve">BUDOWA KOMPLEKSU </t>
  </si>
  <si>
    <t>2. Kryta pływalnia</t>
  </si>
  <si>
    <t>12,5mx25m w Łańcucie</t>
  </si>
  <si>
    <t>UM</t>
  </si>
  <si>
    <t>Załącznik Nr 6</t>
  </si>
  <si>
    <t>Załącznik Nr 7</t>
  </si>
  <si>
    <t>Wydatki razem</t>
  </si>
  <si>
    <t>Plan roku 2006</t>
  </si>
  <si>
    <t>Dział 400 Wytwarzanie i zaopatrywanie w energię elektryczną, gaz i wodę</t>
  </si>
  <si>
    <t>Rozdział 40002 Dostarczanie wody</t>
  </si>
  <si>
    <t>Wydatki majątkowe</t>
  </si>
  <si>
    <t>Przebudowa Stacji Uzdatniania Wody w Woli Małej koło Łańcuta</t>
  </si>
  <si>
    <t>600</t>
  </si>
  <si>
    <t>60016</t>
  </si>
  <si>
    <t>60095</t>
  </si>
  <si>
    <t>700</t>
  </si>
  <si>
    <t>70005</t>
  </si>
  <si>
    <t>710</t>
  </si>
  <si>
    <t>71004</t>
  </si>
  <si>
    <t>71035</t>
  </si>
  <si>
    <t>750</t>
  </si>
  <si>
    <t>75011</t>
  </si>
  <si>
    <t>75022</t>
  </si>
  <si>
    <t>75023</t>
  </si>
  <si>
    <t>75095</t>
  </si>
  <si>
    <t>751</t>
  </si>
  <si>
    <t>75101</t>
  </si>
  <si>
    <t>754</t>
  </si>
  <si>
    <t>75412</t>
  </si>
  <si>
    <t>75414</t>
  </si>
  <si>
    <t>75495</t>
  </si>
  <si>
    <t>756</t>
  </si>
  <si>
    <t>757</t>
  </si>
  <si>
    <t>75702</t>
  </si>
  <si>
    <t>758</t>
  </si>
  <si>
    <t>75818</t>
  </si>
  <si>
    <t>801</t>
  </si>
  <si>
    <t>80101</t>
  </si>
  <si>
    <t>80110</t>
  </si>
  <si>
    <t>80113</t>
  </si>
  <si>
    <t>80146</t>
  </si>
  <si>
    <t>851</t>
  </si>
  <si>
    <t>85154</t>
  </si>
  <si>
    <t>852</t>
  </si>
  <si>
    <t>85213</t>
  </si>
  <si>
    <t>85214</t>
  </si>
  <si>
    <t>85215</t>
  </si>
  <si>
    <t>85219</t>
  </si>
  <si>
    <t>85295</t>
  </si>
  <si>
    <t>85401</t>
  </si>
  <si>
    <t>85415</t>
  </si>
  <si>
    <t>Pomoc materialna dla uczniów</t>
  </si>
  <si>
    <t>900</t>
  </si>
  <si>
    <t>GOSPODARKA KOMUNALNA I OCHRONA ŚRODOWISKA</t>
  </si>
  <si>
    <t>90001</t>
  </si>
  <si>
    <t>90003</t>
  </si>
  <si>
    <t>90004</t>
  </si>
  <si>
    <t>90015</t>
  </si>
  <si>
    <t>90095</t>
  </si>
  <si>
    <t>921</t>
  </si>
  <si>
    <t>92105</t>
  </si>
  <si>
    <t>92109</t>
  </si>
  <si>
    <t>92116</t>
  </si>
  <si>
    <t>926</t>
  </si>
  <si>
    <t>92604</t>
  </si>
  <si>
    <t>92605</t>
  </si>
  <si>
    <t>92695</t>
  </si>
  <si>
    <t xml:space="preserve">- rezerwa celowa </t>
  </si>
  <si>
    <t xml:space="preserve">Kanalizcja sanitarna Kąty </t>
  </si>
  <si>
    <t>Projekt i wykonanie wodociągu wzdłuż ulicy 3-go Maja, w tym zasilanie Szpitala</t>
  </si>
  <si>
    <t>-wynagrodzenia i pochodne od wynagrodzeń</t>
  </si>
  <si>
    <t>75075</t>
  </si>
  <si>
    <t>Promocja jednostek samorządu terytorialnego</t>
  </si>
  <si>
    <t>80195</t>
  </si>
  <si>
    <t>LIMITY WYDATKÓW BUDŻETOWYCH NA WIELOLETNIE PROGRAMY INWESTYCYJNE MIASTA ŁAŃCUTA NA LATA 2006, 2007. 2008</t>
  </si>
  <si>
    <t>Wydatki na programy i projekty realizowane ze środków pochodzących z funduszy strukturalnych i Funduszu Spójności</t>
  </si>
  <si>
    <t>PRZYCHODY I ROZCHODY BUDŻETU W 2006 R</t>
  </si>
  <si>
    <t>Rady Miejskiej w Łańcucie</t>
  </si>
  <si>
    <t>DOTACJE DLA PODMIOTÓW NIEZALICZONYCH DO SEKTORA FINANSÓW PUBLICZNYCH</t>
  </si>
  <si>
    <t>Oświata i wychowanie</t>
  </si>
  <si>
    <t>Dotacja na dowożenie uczniów niepełnosprawnych do szkół</t>
  </si>
  <si>
    <t xml:space="preserve">Dział </t>
  </si>
  <si>
    <t>Ochrona zdrowia</t>
  </si>
  <si>
    <t xml:space="preserve">Dotacja na realizację programów profilaktycznych na temat uzaleznień, narkomanii, promocja zdrowia </t>
  </si>
  <si>
    <t>Dotacja na organizację zajęć sportowych, imprez, turniejów i zawodów jako formy spędzania wolnego czasu</t>
  </si>
  <si>
    <t>Dotacja na prowadzenie placówek opiekuńczo-wychowawczych  realizujących programy profilaktyczne</t>
  </si>
  <si>
    <t>Wsperanie działalności stowarzyszeń i organizacji społecznych propagujących zdrowy i trzeźwy tryb życia</t>
  </si>
  <si>
    <t>Pomoc społeczna</t>
  </si>
  <si>
    <t xml:space="preserve">Rozdział </t>
  </si>
  <si>
    <t>Dotacja na przygotowanie i dostarczenie posiłków dla potrzebujących</t>
  </si>
  <si>
    <t xml:space="preserve">Dotacja na prowadzenie świetlic środowiskowych dla dzieci i młodzieży </t>
  </si>
  <si>
    <t>Dotacja udzielenie schronienia osobom potrzebującym</t>
  </si>
  <si>
    <t>Kultura i ochrona dziedzictwa narodowego</t>
  </si>
  <si>
    <t>Dotacja na dofinansowanie koncertów muzycznych i innych imprez kulturalnych</t>
  </si>
  <si>
    <t>Dotacja na organizację konkursów</t>
  </si>
  <si>
    <t>Kultura fizyczna i sport</t>
  </si>
  <si>
    <t>Zadania w zakresie kultury fizycznej</t>
  </si>
  <si>
    <t>Dotacja na upowszechnianie współzawodnictwa sportowego wśród dzieci i młodzieży</t>
  </si>
  <si>
    <t>Spłaty pożyczek otrzymanych na finansowanie zadań realizowanych z udziałem środków pochodzących z budżetu Unii Europejskiej - Pożyczka pomostowa WFOŚ i GW Rzeszów</t>
  </si>
  <si>
    <t xml:space="preserve">Rozchody z tytułu innych rozliczeń krajowych </t>
  </si>
  <si>
    <t xml:space="preserve">- sfinansowanie planowanego deficytu </t>
  </si>
  <si>
    <t>Załącznik Nr 11</t>
  </si>
  <si>
    <t xml:space="preserve">Spłaty pożyczek otrzymanych na finansowanie zadań realizowanych z udziałem środków pochodzących z budżetu Unii Europejskiej </t>
  </si>
  <si>
    <t>III.PROGNOZA BUDŻETOWA NA LATA 2007-2014</t>
  </si>
  <si>
    <t xml:space="preserve">I.DOCHODY OGÓŁEM </t>
  </si>
  <si>
    <t>1.Podatki i opłaty lokalne</t>
  </si>
  <si>
    <t>2.Dochody z majątku miasta</t>
  </si>
  <si>
    <t>3.Udziały w podatkach</t>
  </si>
  <si>
    <t>4.Subwencje</t>
  </si>
  <si>
    <t>5.Dotacje</t>
  </si>
  <si>
    <t>6.Pozostałe dochody</t>
  </si>
  <si>
    <t>II.WYDATKI OGÓŁEM</t>
  </si>
  <si>
    <t>1.Wydatki bieżące, w tym:</t>
  </si>
  <si>
    <t>1.1.Wynagrodzenia i pochodne od wynagrodzeń</t>
  </si>
  <si>
    <t>1.2.Dotacje</t>
  </si>
  <si>
    <t>1.3.Wydatki na obsługę długu</t>
  </si>
  <si>
    <t>2.Wydatki majątkowe</t>
  </si>
  <si>
    <t xml:space="preserve"> -    </t>
  </si>
  <si>
    <t>III.NADWYŻKA/DEFICYT</t>
  </si>
  <si>
    <t>IV.ROZCHODY</t>
  </si>
  <si>
    <t>1.Spłata pożyczek i kredytów</t>
  </si>
  <si>
    <t>V. Stan zadłużenia na koniec roku</t>
  </si>
  <si>
    <t>VI.Wskaźnik obsługi zadłużenia ( kapitał + odsetki ) do dochodów budżetu</t>
  </si>
  <si>
    <t xml:space="preserve"> -      </t>
  </si>
  <si>
    <t>VII.% wskaźnik  długu na koniec roku do dochodów budżetu</t>
  </si>
  <si>
    <t>do Uchwały Nr XXXV/210/2005 Rady Miejskiej w Łańcucie</t>
  </si>
  <si>
    <t xml:space="preserve">do Uchwały Nr XXXV/210/2005  Rady Miejskiej w Łańcucie </t>
  </si>
  <si>
    <t>do Uchwały Nr XXXV/210/2005  Rady Miesjkiej w Łańcucie</t>
  </si>
  <si>
    <t>do Uchwały Nr XXXV/210/2005 Rady Miejskiej  w Łańcucie</t>
  </si>
  <si>
    <t>do Uchwały Nr XXXV/210/2005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</si>
</sst>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"/>
  </numFmts>
  <fonts count="1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b/>
      <i/>
      <sz val="7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3" fontId="0" fillId="0" borderId="3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3" xfId="0" applyNumberForma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49" fontId="4" fillId="0" borderId="2" xfId="0" applyNumberFormat="1" applyFont="1" applyBorder="1" applyAlignment="1">
      <alignment vertical="center" wrapText="1"/>
    </xf>
    <xf numFmtId="11" fontId="2" fillId="0" borderId="3" xfId="0" applyNumberFormat="1" applyFont="1" applyBorder="1" applyAlignment="1">
      <alignment horizontal="center" vertical="center" wrapText="1"/>
    </xf>
    <xf numFmtId="11" fontId="2" fillId="0" borderId="5" xfId="0" applyNumberFormat="1" applyFont="1" applyBorder="1" applyAlignment="1">
      <alignment horizontal="center" vertical="center" wrapText="1"/>
    </xf>
    <xf numFmtId="11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  <xf numFmtId="49" fontId="1" fillId="0" borderId="7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/>
    </xf>
    <xf numFmtId="49" fontId="1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3" fontId="4" fillId="0" borderId="7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right" vertical="center"/>
    </xf>
    <xf numFmtId="41" fontId="2" fillId="0" borderId="3" xfId="0" applyNumberFormat="1" applyFont="1" applyBorder="1" applyAlignment="1">
      <alignment horizontal="right" vertical="center"/>
    </xf>
    <xf numFmtId="41" fontId="4" fillId="0" borderId="6" xfId="0" applyNumberFormat="1" applyFont="1" applyBorder="1" applyAlignment="1">
      <alignment horizontal="right" vertical="center"/>
    </xf>
    <xf numFmtId="41" fontId="2" fillId="0" borderId="1" xfId="0" applyNumberFormat="1" applyFont="1" applyBorder="1" applyAlignment="1">
      <alignment horizontal="right" vertical="center"/>
    </xf>
    <xf numFmtId="41" fontId="4" fillId="0" borderId="8" xfId="0" applyNumberFormat="1" applyFont="1" applyBorder="1" applyAlignment="1">
      <alignment horizontal="right" vertical="center"/>
    </xf>
    <xf numFmtId="41" fontId="2" fillId="0" borderId="2" xfId="0" applyNumberFormat="1" applyFont="1" applyBorder="1" applyAlignment="1">
      <alignment horizontal="right" vertical="center"/>
    </xf>
    <xf numFmtId="41" fontId="2" fillId="0" borderId="7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right" vertical="center"/>
    </xf>
    <xf numFmtId="41" fontId="2" fillId="0" borderId="8" xfId="0" applyNumberFormat="1" applyFont="1" applyBorder="1" applyAlignment="1">
      <alignment horizontal="right" vertical="center"/>
    </xf>
    <xf numFmtId="41" fontId="4" fillId="0" borderId="2" xfId="0" applyNumberFormat="1" applyFont="1" applyBorder="1" applyAlignment="1">
      <alignment horizontal="center" vertical="center"/>
    </xf>
    <xf numFmtId="41" fontId="0" fillId="0" borderId="0" xfId="0" applyNumberFormat="1" applyAlignment="1">
      <alignment/>
    </xf>
    <xf numFmtId="41" fontId="3" fillId="0" borderId="7" xfId="0" applyNumberFormat="1" applyFont="1" applyBorder="1" applyAlignment="1">
      <alignment horizontal="left" vertical="center" wrapText="1"/>
    </xf>
    <xf numFmtId="41" fontId="3" fillId="0" borderId="6" xfId="0" applyNumberFormat="1" applyFont="1" applyBorder="1" applyAlignment="1">
      <alignment horizontal="right" vertical="center" wrapText="1"/>
    </xf>
    <xf numFmtId="41" fontId="3" fillId="0" borderId="6" xfId="0" applyNumberFormat="1" applyFont="1" applyBorder="1" applyAlignment="1">
      <alignment horizontal="left" vertical="center" wrapText="1"/>
    </xf>
    <xf numFmtId="41" fontId="5" fillId="0" borderId="8" xfId="0" applyNumberFormat="1" applyFont="1" applyBorder="1" applyAlignment="1">
      <alignment horizontal="left" vertical="center" wrapText="1"/>
    </xf>
    <xf numFmtId="41" fontId="3" fillId="0" borderId="5" xfId="0" applyNumberFormat="1" applyFont="1" applyBorder="1" applyAlignment="1">
      <alignment horizontal="left" vertical="center" wrapText="1"/>
    </xf>
    <xf numFmtId="41" fontId="5" fillId="0" borderId="5" xfId="0" applyNumberFormat="1" applyFont="1" applyBorder="1" applyAlignment="1">
      <alignment horizontal="left" vertical="center" wrapText="1"/>
    </xf>
    <xf numFmtId="41" fontId="7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41" fontId="7" fillId="0" borderId="3" xfId="0" applyNumberFormat="1" applyFont="1" applyBorder="1" applyAlignment="1">
      <alignment horizontal="right" vertical="center"/>
    </xf>
    <xf numFmtId="41" fontId="8" fillId="0" borderId="3" xfId="0" applyNumberFormat="1" applyFont="1" applyBorder="1" applyAlignment="1">
      <alignment horizontal="right" vertical="center"/>
    </xf>
    <xf numFmtId="41" fontId="9" fillId="0" borderId="5" xfId="0" applyNumberFormat="1" applyFont="1" applyBorder="1" applyAlignment="1">
      <alignment horizontal="right"/>
    </xf>
    <xf numFmtId="41" fontId="4" fillId="0" borderId="3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/>
    </xf>
    <xf numFmtId="42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/>
    </xf>
    <xf numFmtId="42" fontId="0" fillId="0" borderId="5" xfId="0" applyNumberFormat="1" applyBorder="1" applyAlignment="1">
      <alignment/>
    </xf>
    <xf numFmtId="41" fontId="5" fillId="0" borderId="6" xfId="0" applyNumberFormat="1" applyFont="1" applyBorder="1" applyAlignment="1">
      <alignment horizontal="left" vertical="center" wrapText="1"/>
    </xf>
    <xf numFmtId="41" fontId="5" fillId="0" borderId="1" xfId="0" applyNumberFormat="1" applyFont="1" applyBorder="1" applyAlignment="1">
      <alignment horizontal="left" vertical="center" wrapText="1"/>
    </xf>
    <xf numFmtId="41" fontId="5" fillId="0" borderId="2" xfId="0" applyNumberFormat="1" applyFont="1" applyBorder="1" applyAlignment="1">
      <alignment horizontal="left" vertical="center" wrapText="1"/>
    </xf>
    <xf numFmtId="41" fontId="3" fillId="0" borderId="3" xfId="0" applyNumberFormat="1" applyFont="1" applyBorder="1" applyAlignment="1">
      <alignment horizontal="left" vertical="center" wrapText="1"/>
    </xf>
    <xf numFmtId="165" fontId="0" fillId="0" borderId="0" xfId="0" applyNumberFormat="1" applyAlignment="1">
      <alignment/>
    </xf>
    <xf numFmtId="1" fontId="4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right" vertical="center"/>
    </xf>
    <xf numFmtId="41" fontId="2" fillId="0" borderId="9" xfId="0" applyNumberFormat="1" applyFont="1" applyBorder="1" applyAlignment="1">
      <alignment horizontal="right" vertical="center"/>
    </xf>
    <xf numFmtId="41" fontId="2" fillId="0" borderId="5" xfId="0" applyNumberFormat="1" applyFont="1" applyBorder="1" applyAlignment="1">
      <alignment horizontal="right" vertical="center"/>
    </xf>
    <xf numFmtId="49" fontId="8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left" vertical="center"/>
    </xf>
    <xf numFmtId="41" fontId="8" fillId="0" borderId="6" xfId="0" applyNumberFormat="1" applyFont="1" applyBorder="1" applyAlignment="1">
      <alignment horizontal="left" vertical="center" wrapText="1"/>
    </xf>
    <xf numFmtId="41" fontId="7" fillId="0" borderId="6" xfId="0" applyNumberFormat="1" applyFont="1" applyBorder="1" applyAlignment="1">
      <alignment horizontal="left" vertical="center" wrapText="1"/>
    </xf>
    <xf numFmtId="41" fontId="8" fillId="0" borderId="3" xfId="0" applyNumberFormat="1" applyFont="1" applyBorder="1" applyAlignment="1">
      <alignment horizontal="left" vertical="center" wrapText="1"/>
    </xf>
    <xf numFmtId="41" fontId="7" fillId="0" borderId="1" xfId="0" applyNumberFormat="1" applyFont="1" applyBorder="1" applyAlignment="1">
      <alignment horizontal="left" vertical="center" wrapText="1"/>
    </xf>
    <xf numFmtId="41" fontId="7" fillId="0" borderId="2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1" fontId="8" fillId="0" borderId="5" xfId="0" applyNumberFormat="1" applyFont="1" applyBorder="1" applyAlignment="1">
      <alignment horizontal="right"/>
    </xf>
    <xf numFmtId="41" fontId="8" fillId="0" borderId="3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7" fillId="0" borderId="5" xfId="0" applyNumberFormat="1" applyFont="1" applyBorder="1" applyAlignment="1">
      <alignment horizontal="center"/>
    </xf>
    <xf numFmtId="41" fontId="10" fillId="0" borderId="5" xfId="0" applyNumberFormat="1" applyFont="1" applyBorder="1" applyAlignment="1">
      <alignment horizontal="right"/>
    </xf>
    <xf numFmtId="41" fontId="8" fillId="0" borderId="7" xfId="0" applyNumberFormat="1" applyFont="1" applyBorder="1" applyAlignment="1">
      <alignment horizontal="left" vertical="center" wrapText="1"/>
    </xf>
    <xf numFmtId="41" fontId="7" fillId="0" borderId="8" xfId="0" applyNumberFormat="1" applyFont="1" applyBorder="1" applyAlignment="1">
      <alignment horizontal="left" vertical="center" wrapText="1"/>
    </xf>
    <xf numFmtId="41" fontId="1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1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1" fillId="0" borderId="3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1" fillId="0" borderId="11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1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41" fontId="0" fillId="0" borderId="5" xfId="0" applyNumberFormat="1" applyFon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1" fillId="0" borderId="5" xfId="0" applyNumberFormat="1" applyFont="1" applyBorder="1" applyAlignment="1">
      <alignment vertical="center"/>
    </xf>
    <xf numFmtId="41" fontId="1" fillId="0" borderId="1" xfId="0" applyNumberFormat="1" applyFon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1" fillId="0" borderId="12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vertical="center" wrapText="1"/>
    </xf>
    <xf numFmtId="0" fontId="3" fillId="0" borderId="5" xfId="0" applyFont="1" applyBorder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49" fontId="3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2" fontId="1" fillId="0" borderId="0" xfId="0" applyNumberFormat="1" applyFont="1" applyAlignment="1">
      <alignment/>
    </xf>
    <xf numFmtId="49" fontId="5" fillId="0" borderId="1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5" fillId="0" borderId="6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41" fontId="0" fillId="0" borderId="2" xfId="0" applyNumberForma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1" fontId="1" fillId="0" borderId="5" xfId="0" applyNumberFormat="1" applyFont="1" applyBorder="1" applyAlignment="1">
      <alignment/>
    </xf>
    <xf numFmtId="41" fontId="0" fillId="0" borderId="1" xfId="0" applyNumberFormat="1" applyFont="1" applyBorder="1" applyAlignment="1">
      <alignment vertical="center"/>
    </xf>
    <xf numFmtId="41" fontId="0" fillId="0" borderId="1" xfId="0" applyNumberFormat="1" applyBorder="1" applyAlignment="1">
      <alignment/>
    </xf>
    <xf numFmtId="49" fontId="5" fillId="0" borderId="9" xfId="0" applyNumberFormat="1" applyFont="1" applyBorder="1" applyAlignment="1">
      <alignment vertical="center" wrapText="1"/>
    </xf>
    <xf numFmtId="41" fontId="0" fillId="0" borderId="5" xfId="0" applyNumberFormat="1" applyBorder="1" applyAlignment="1">
      <alignment vertical="center" wrapText="1"/>
    </xf>
    <xf numFmtId="41" fontId="1" fillId="0" borderId="5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1" fontId="1" fillId="0" borderId="0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vertical="center" wrapText="1"/>
    </xf>
    <xf numFmtId="41" fontId="0" fillId="0" borderId="2" xfId="0" applyNumberFormat="1" applyFont="1" applyBorder="1" applyAlignment="1">
      <alignment vertical="center"/>
    </xf>
    <xf numFmtId="41" fontId="0" fillId="0" borderId="3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top"/>
    </xf>
    <xf numFmtId="49" fontId="1" fillId="0" borderId="0" xfId="0" applyNumberFormat="1" applyFont="1" applyAlignment="1">
      <alignment horizontal="center" vertical="center" wrapText="1"/>
    </xf>
    <xf numFmtId="41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9" fontId="2" fillId="0" borderId="0" xfId="0" applyNumberFormat="1" applyFont="1" applyAlignment="1">
      <alignment vertical="center" wrapText="1"/>
    </xf>
    <xf numFmtId="41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49" fontId="0" fillId="0" borderId="8" xfId="0" applyNumberFormat="1" applyFont="1" applyBorder="1" applyAlignment="1">
      <alignment horizontal="center" vertical="center"/>
    </xf>
    <xf numFmtId="41" fontId="0" fillId="0" borderId="12" xfId="0" applyNumberFormat="1" applyFont="1" applyBorder="1" applyAlignment="1">
      <alignment vertical="center"/>
    </xf>
    <xf numFmtId="41" fontId="1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3" fontId="4" fillId="0" borderId="5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2" fontId="5" fillId="0" borderId="1" xfId="0" applyNumberFormat="1" applyFont="1" applyBorder="1" applyAlignment="1">
      <alignment horizontal="right" vertical="center"/>
    </xf>
    <xf numFmtId="42" fontId="5" fillId="0" borderId="2" xfId="0" applyNumberFormat="1" applyFont="1" applyBorder="1" applyAlignment="1">
      <alignment horizontal="right" vertical="center"/>
    </xf>
    <xf numFmtId="42" fontId="5" fillId="0" borderId="3" xfId="0" applyNumberFormat="1" applyFont="1" applyBorder="1" applyAlignment="1">
      <alignment horizontal="center" vertical="center"/>
    </xf>
    <xf numFmtId="42" fontId="5" fillId="0" borderId="1" xfId="0" applyNumberFormat="1" applyFont="1" applyBorder="1" applyAlignment="1">
      <alignment horizontal="center" vertical="center"/>
    </xf>
    <xf numFmtId="42" fontId="5" fillId="0" borderId="2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wrapText="1"/>
    </xf>
    <xf numFmtId="41" fontId="9" fillId="0" borderId="9" xfId="0" applyNumberFormat="1" applyFont="1" applyBorder="1" applyAlignment="1">
      <alignment horizontal="center"/>
    </xf>
    <xf numFmtId="41" fontId="9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2" fontId="5" fillId="0" borderId="3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 wrapText="1"/>
    </xf>
    <xf numFmtId="41" fontId="1" fillId="0" borderId="2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wrapText="1"/>
    </xf>
    <xf numFmtId="41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2" fontId="3" fillId="0" borderId="3" xfId="0" applyNumberFormat="1" applyFont="1" applyBorder="1" applyAlignment="1">
      <alignment horizontal="center" vertical="center"/>
    </xf>
    <xf numFmtId="42" fontId="3" fillId="0" borderId="1" xfId="0" applyNumberFormat="1" applyFont="1" applyBorder="1" applyAlignment="1">
      <alignment horizontal="center" vertical="center"/>
    </xf>
    <xf numFmtId="42" fontId="3" fillId="0" borderId="2" xfId="0" applyNumberFormat="1" applyFont="1" applyBorder="1" applyAlignment="1">
      <alignment horizontal="center" vertical="center"/>
    </xf>
    <xf numFmtId="42" fontId="5" fillId="0" borderId="5" xfId="0" applyNumberFormat="1" applyFont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8" fillId="0" borderId="9" xfId="0" applyNumberFormat="1" applyFont="1" applyBorder="1" applyAlignment="1">
      <alignment horizontal="center"/>
    </xf>
    <xf numFmtId="41" fontId="8" fillId="0" borderId="1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2" fontId="8" fillId="0" borderId="5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42" fontId="3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3" fillId="0" borderId="5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1" fontId="5" fillId="0" borderId="3" xfId="0" applyNumberFormat="1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center" vertical="center" wrapText="1"/>
    </xf>
    <xf numFmtId="41" fontId="5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41" fontId="5" fillId="0" borderId="5" xfId="0" applyNumberFormat="1" applyFont="1" applyBorder="1" applyAlignment="1">
      <alignment horizontal="left" vertical="center" wrapText="1"/>
    </xf>
    <xf numFmtId="41" fontId="4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11" fontId="2" fillId="0" borderId="5" xfId="0" applyNumberFormat="1" applyFont="1" applyBorder="1" applyAlignment="1">
      <alignment horizontal="center" vertical="center" wrapText="1"/>
    </xf>
    <xf numFmtId="11" fontId="2" fillId="0" borderId="9" xfId="0" applyNumberFormat="1" applyFont="1" applyBorder="1" applyAlignment="1">
      <alignment horizontal="center" vertical="center" wrapText="1"/>
    </xf>
    <xf numFmtId="11" fontId="2" fillId="0" borderId="4" xfId="0" applyNumberFormat="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/>
    </xf>
    <xf numFmtId="41" fontId="4" fillId="0" borderId="2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/>
    </xf>
    <xf numFmtId="49" fontId="4" fillId="0" borderId="0" xfId="0" applyNumberFormat="1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2" fontId="1" fillId="0" borderId="3" xfId="0" applyNumberFormat="1" applyFont="1" applyBorder="1" applyAlignment="1">
      <alignment horizontal="center" vertical="center"/>
    </xf>
    <xf numFmtId="42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2" fontId="0" fillId="0" borderId="3" xfId="0" applyNumberFormat="1" applyBorder="1" applyAlignment="1">
      <alignment horizontal="center"/>
    </xf>
    <xf numFmtId="42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top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5" sqref="A15"/>
    </sheetView>
  </sheetViews>
  <sheetFormatPr defaultColWidth="9.00390625" defaultRowHeight="12.75"/>
  <cols>
    <col min="1" max="1" width="66.625" style="0" customWidth="1"/>
    <col min="2" max="2" width="18.375" style="0" customWidth="1"/>
  </cols>
  <sheetData>
    <row r="1" spans="1:2" ht="17.25" customHeight="1">
      <c r="A1" s="275" t="s">
        <v>273</v>
      </c>
      <c r="B1" s="275"/>
    </row>
    <row r="2" spans="1:2" ht="17.25" customHeight="1">
      <c r="A2" s="275" t="s">
        <v>393</v>
      </c>
      <c r="B2" s="275"/>
    </row>
    <row r="3" spans="1:2" ht="31.5" customHeight="1">
      <c r="A3" s="276" t="s">
        <v>343</v>
      </c>
      <c r="B3" s="276"/>
    </row>
    <row r="4" ht="12.75">
      <c r="B4" s="191" t="s">
        <v>275</v>
      </c>
    </row>
    <row r="5" spans="1:2" ht="21.75" customHeight="1">
      <c r="A5" t="s">
        <v>274</v>
      </c>
      <c r="B5" s="119">
        <v>355000</v>
      </c>
    </row>
    <row r="6" spans="1:2" ht="24.75" customHeight="1">
      <c r="A6" t="s">
        <v>276</v>
      </c>
      <c r="B6" s="119">
        <v>355000</v>
      </c>
    </row>
    <row r="7" spans="1:2" ht="27" customHeight="1">
      <c r="A7" s="8" t="s">
        <v>277</v>
      </c>
      <c r="B7" s="201">
        <v>355000</v>
      </c>
    </row>
    <row r="8" spans="1:2" ht="25.5" customHeight="1">
      <c r="A8" t="s">
        <v>278</v>
      </c>
      <c r="B8" s="119">
        <v>355000</v>
      </c>
    </row>
    <row r="9" spans="1:2" ht="21.75" customHeight="1">
      <c r="A9" t="s">
        <v>279</v>
      </c>
      <c r="B9" s="119"/>
    </row>
    <row r="10" ht="12.75">
      <c r="B10" s="119"/>
    </row>
    <row r="11" ht="12.75">
      <c r="B11" s="119"/>
    </row>
    <row r="12" ht="12.75">
      <c r="B12" s="119"/>
    </row>
    <row r="13" ht="12.75">
      <c r="B13" s="119"/>
    </row>
    <row r="14" ht="12.75">
      <c r="B14" s="119"/>
    </row>
    <row r="15" ht="12.75">
      <c r="B15" s="119"/>
    </row>
    <row r="16" ht="12.75">
      <c r="B16" s="119"/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2" sqref="A2:G2"/>
    </sheetView>
  </sheetViews>
  <sheetFormatPr defaultColWidth="9.00390625" defaultRowHeight="12.75"/>
  <cols>
    <col min="1" max="1" width="8.50390625" style="0" customWidth="1"/>
    <col min="2" max="2" width="13.125" style="0" customWidth="1"/>
    <col min="3" max="3" width="34.375" style="0" customWidth="1"/>
    <col min="4" max="4" width="16.125" style="0" customWidth="1"/>
    <col min="5" max="7" width="15.375" style="0" customWidth="1"/>
  </cols>
  <sheetData>
    <row r="1" spans="1:7" ht="13.5" customHeight="1">
      <c r="A1" s="341" t="s">
        <v>132</v>
      </c>
      <c r="B1" s="341"/>
      <c r="C1" s="341"/>
      <c r="D1" s="341"/>
      <c r="E1" s="341"/>
      <c r="F1" s="341"/>
      <c r="G1" s="341"/>
    </row>
    <row r="2" spans="1:7" ht="13.5" customHeight="1">
      <c r="A2" s="341" t="s">
        <v>393</v>
      </c>
      <c r="B2" s="341"/>
      <c r="C2" s="341"/>
      <c r="D2" s="341"/>
      <c r="E2" s="341"/>
      <c r="F2" s="341"/>
      <c r="G2" s="341"/>
    </row>
    <row r="3" spans="1:7" ht="46.5" customHeight="1">
      <c r="A3" s="276" t="s">
        <v>211</v>
      </c>
      <c r="B3" s="276"/>
      <c r="C3" s="276"/>
      <c r="D3" s="276"/>
      <c r="E3" s="276"/>
      <c r="F3" s="276"/>
      <c r="G3" s="276"/>
    </row>
    <row r="4" spans="1:7" ht="30">
      <c r="A4" s="32" t="s">
        <v>13</v>
      </c>
      <c r="B4" s="32" t="s">
        <v>73</v>
      </c>
      <c r="C4" s="32" t="s">
        <v>0</v>
      </c>
      <c r="D4" s="32" t="s">
        <v>74</v>
      </c>
      <c r="E4" s="32" t="s">
        <v>75</v>
      </c>
      <c r="F4" s="32" t="s">
        <v>76</v>
      </c>
      <c r="G4" s="32" t="s">
        <v>77</v>
      </c>
    </row>
    <row r="5" spans="1:7" ht="24" customHeight="1">
      <c r="A5" s="28">
        <v>900</v>
      </c>
      <c r="B5" s="28">
        <v>90017</v>
      </c>
      <c r="C5" s="33" t="s">
        <v>78</v>
      </c>
      <c r="D5" s="215">
        <v>101000</v>
      </c>
      <c r="E5" s="215">
        <v>3462730</v>
      </c>
      <c r="F5" s="215">
        <v>3460730</v>
      </c>
      <c r="G5" s="215">
        <v>103000</v>
      </c>
    </row>
    <row r="6" spans="1:7" ht="24" customHeight="1">
      <c r="A6" s="28">
        <v>900</v>
      </c>
      <c r="B6" s="28">
        <v>90017</v>
      </c>
      <c r="C6" s="33" t="s">
        <v>79</v>
      </c>
      <c r="D6" s="215">
        <v>86935</v>
      </c>
      <c r="E6" s="215">
        <v>2191936</v>
      </c>
      <c r="F6" s="215">
        <v>2191211</v>
      </c>
      <c r="G6" s="215">
        <v>87660</v>
      </c>
    </row>
    <row r="7" spans="1:7" ht="24" customHeight="1">
      <c r="A7" s="28">
        <v>900</v>
      </c>
      <c r="B7" s="28">
        <v>90017</v>
      </c>
      <c r="C7" s="33" t="s">
        <v>80</v>
      </c>
      <c r="D7" s="215">
        <v>69900</v>
      </c>
      <c r="E7" s="215">
        <v>2069717</v>
      </c>
      <c r="F7" s="215">
        <v>2071817</v>
      </c>
      <c r="G7" s="215">
        <v>67800</v>
      </c>
    </row>
    <row r="8" spans="1:7" ht="24" customHeight="1">
      <c r="A8" s="28">
        <v>700</v>
      </c>
      <c r="B8" s="28">
        <v>70001</v>
      </c>
      <c r="C8" s="33" t="s">
        <v>81</v>
      </c>
      <c r="D8" s="215">
        <v>10100</v>
      </c>
      <c r="E8" s="215">
        <v>1365650</v>
      </c>
      <c r="F8" s="215">
        <v>1335250</v>
      </c>
      <c r="G8" s="215">
        <v>40500</v>
      </c>
    </row>
    <row r="9" spans="1:7" ht="24" customHeight="1">
      <c r="A9" s="362" t="s">
        <v>92</v>
      </c>
      <c r="B9" s="363"/>
      <c r="C9" s="364"/>
      <c r="D9" s="216">
        <f>D5+D6+D7+D8</f>
        <v>267935</v>
      </c>
      <c r="E9" s="216">
        <f>E5+E6+E7+E8</f>
        <v>9090033</v>
      </c>
      <c r="F9" s="216">
        <f>F5+F6+F7+F8</f>
        <v>9059008</v>
      </c>
      <c r="G9" s="216">
        <f>G5+G6+G7+G8</f>
        <v>298960</v>
      </c>
    </row>
    <row r="10" spans="1:7" ht="21.75" customHeight="1">
      <c r="A10" s="2"/>
      <c r="B10" s="2"/>
      <c r="C10" s="55"/>
      <c r="D10" s="56"/>
      <c r="E10" s="56"/>
      <c r="F10" s="56"/>
      <c r="G10" s="56"/>
    </row>
    <row r="11" spans="1:7" ht="12.75" customHeight="1">
      <c r="A11" s="2"/>
      <c r="B11" s="2"/>
      <c r="C11" s="55"/>
      <c r="D11" s="56"/>
      <c r="E11" s="56"/>
      <c r="F11" s="56"/>
      <c r="G11" s="56"/>
    </row>
    <row r="12" spans="1:7" ht="44.25" customHeight="1">
      <c r="A12" s="2"/>
      <c r="B12" s="2"/>
      <c r="C12" s="55"/>
      <c r="D12" s="56"/>
      <c r="E12" s="56"/>
      <c r="F12" s="56"/>
      <c r="G12" s="56"/>
    </row>
    <row r="13" spans="1:3" ht="16.5" customHeight="1">
      <c r="A13" s="2"/>
      <c r="B13" s="2"/>
      <c r="C13" s="55"/>
    </row>
    <row r="14" spans="1:3" ht="21" customHeight="1">
      <c r="A14" s="2"/>
      <c r="B14" s="2"/>
      <c r="C14" s="55"/>
    </row>
    <row r="15" ht="12.75" customHeight="1">
      <c r="C15" s="34"/>
    </row>
    <row r="16" ht="19.5" customHeight="1">
      <c r="C16" s="34"/>
    </row>
    <row r="17" ht="18" customHeight="1">
      <c r="C17" s="34"/>
    </row>
    <row r="18" ht="12.75" customHeight="1">
      <c r="C18" s="34"/>
    </row>
    <row r="19" ht="18" customHeight="1">
      <c r="C19" s="34"/>
    </row>
    <row r="20" ht="12.75" customHeight="1">
      <c r="C20" s="34"/>
    </row>
    <row r="21" ht="12.75" customHeight="1">
      <c r="C21" s="34"/>
    </row>
    <row r="22" ht="22.5" customHeight="1"/>
    <row r="23" ht="27" customHeight="1"/>
    <row r="24" ht="21" customHeight="1"/>
    <row r="25" ht="18" customHeight="1"/>
    <row r="26" ht="12.75" customHeight="1"/>
    <row r="27" ht="12.75" customHeight="1"/>
    <row r="28" ht="21" customHeight="1"/>
    <row r="29" ht="18.75" customHeight="1"/>
    <row r="30" ht="12.75" customHeight="1"/>
    <row r="31" ht="19.5" customHeight="1"/>
    <row r="32" ht="20.25" customHeight="1"/>
    <row r="33" ht="12.75" customHeight="1"/>
  </sheetData>
  <mergeCells count="4">
    <mergeCell ref="A1:G1"/>
    <mergeCell ref="A3:G3"/>
    <mergeCell ref="A2:G2"/>
    <mergeCell ref="A9:C9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1">
      <selection activeCell="B9" sqref="B9"/>
    </sheetView>
  </sheetViews>
  <sheetFormatPr defaultColWidth="9.00390625" defaultRowHeight="12.75"/>
  <cols>
    <col min="1" max="1" width="11.50390625" style="0" customWidth="1"/>
    <col min="2" max="2" width="59.00390625" style="0" customWidth="1"/>
    <col min="3" max="3" width="13.875" style="0" customWidth="1"/>
    <col min="4" max="4" width="10.125" style="0" bestFit="1" customWidth="1"/>
  </cols>
  <sheetData>
    <row r="1" spans="1:3" ht="12.75">
      <c r="A1" s="365" t="s">
        <v>134</v>
      </c>
      <c r="B1" s="365"/>
      <c r="C1" s="365"/>
    </row>
    <row r="2" spans="1:3" ht="21.75" customHeight="1">
      <c r="A2" s="365" t="s">
        <v>393</v>
      </c>
      <c r="B2" s="365"/>
      <c r="C2" s="365"/>
    </row>
    <row r="3" spans="1:3" ht="30" customHeight="1">
      <c r="A3" s="366" t="s">
        <v>214</v>
      </c>
      <c r="B3" s="366"/>
      <c r="C3" s="366"/>
    </row>
    <row r="4" spans="1:3" ht="22.5" customHeight="1">
      <c r="A4" s="26" t="s">
        <v>11</v>
      </c>
      <c r="B4" s="26" t="s">
        <v>135</v>
      </c>
      <c r="C4" s="26" t="s">
        <v>136</v>
      </c>
    </row>
    <row r="5" spans="1:3" ht="33.75" customHeight="1">
      <c r="A5" s="355">
        <v>400</v>
      </c>
      <c r="B5" s="164" t="s">
        <v>235</v>
      </c>
      <c r="C5" s="153">
        <f>C6+C7</f>
        <v>1562420</v>
      </c>
    </row>
    <row r="6" spans="1:3" ht="30" customHeight="1">
      <c r="A6" s="359"/>
      <c r="B6" s="165" t="s">
        <v>236</v>
      </c>
      <c r="C6" s="154">
        <v>1205441</v>
      </c>
    </row>
    <row r="7" spans="1:3" ht="22.5" customHeight="1">
      <c r="A7" s="356"/>
      <c r="B7" s="165" t="s">
        <v>237</v>
      </c>
      <c r="C7" s="154">
        <v>356979</v>
      </c>
    </row>
    <row r="8" spans="1:3" ht="26.25" customHeight="1">
      <c r="A8" s="369">
        <v>700</v>
      </c>
      <c r="B8" s="166" t="s">
        <v>1</v>
      </c>
      <c r="C8" s="155">
        <f>C9+C10+C11+C12</f>
        <v>1384228</v>
      </c>
    </row>
    <row r="9" spans="1:3" ht="31.5" customHeight="1">
      <c r="A9" s="370"/>
      <c r="B9" s="274" t="s">
        <v>137</v>
      </c>
      <c r="C9" s="156">
        <v>195000</v>
      </c>
    </row>
    <row r="10" spans="1:3" ht="54.75" customHeight="1">
      <c r="A10" s="370"/>
      <c r="B10" s="274" t="s">
        <v>138</v>
      </c>
      <c r="C10" s="156">
        <v>989228</v>
      </c>
    </row>
    <row r="11" spans="1:3" ht="20.25" customHeight="1">
      <c r="A11" s="370"/>
      <c r="B11" s="12" t="s">
        <v>139</v>
      </c>
      <c r="C11" s="156">
        <v>110000</v>
      </c>
    </row>
    <row r="12" spans="1:3" ht="20.25" customHeight="1">
      <c r="A12" s="371"/>
      <c r="B12" s="62" t="s">
        <v>140</v>
      </c>
      <c r="C12" s="157">
        <v>90000</v>
      </c>
    </row>
    <row r="13" spans="1:3" ht="26.25" customHeight="1">
      <c r="A13" s="369">
        <v>750</v>
      </c>
      <c r="B13" s="167" t="s">
        <v>2</v>
      </c>
      <c r="C13" s="155">
        <f>C14+C15+C16</f>
        <v>203358</v>
      </c>
    </row>
    <row r="14" spans="1:3" ht="54.75" customHeight="1">
      <c r="A14" s="370"/>
      <c r="B14" s="12" t="s">
        <v>141</v>
      </c>
      <c r="C14" s="156">
        <v>120858</v>
      </c>
    </row>
    <row r="15" spans="1:3" ht="33" customHeight="1">
      <c r="A15" s="370"/>
      <c r="B15" s="12" t="s">
        <v>142</v>
      </c>
      <c r="C15" s="156">
        <v>2500</v>
      </c>
    </row>
    <row r="16" spans="1:3" ht="16.5" customHeight="1">
      <c r="A16" s="371"/>
      <c r="B16" s="62" t="s">
        <v>143</v>
      </c>
      <c r="C16" s="157">
        <v>80000</v>
      </c>
    </row>
    <row r="17" spans="1:3" ht="31.5" customHeight="1">
      <c r="A17" s="369">
        <v>751</v>
      </c>
      <c r="B17" s="167" t="s">
        <v>3</v>
      </c>
      <c r="C17" s="155">
        <f>C18</f>
        <v>2712</v>
      </c>
    </row>
    <row r="18" spans="1:3" ht="46.5" customHeight="1">
      <c r="A18" s="371"/>
      <c r="B18" s="62" t="s">
        <v>141</v>
      </c>
      <c r="C18" s="157">
        <v>2712</v>
      </c>
    </row>
    <row r="19" spans="1:3" ht="45" customHeight="1">
      <c r="A19" s="25">
        <v>756</v>
      </c>
      <c r="B19" s="167" t="s">
        <v>144</v>
      </c>
      <c r="C19" s="158">
        <f>SUM(C20:C36)</f>
        <v>16863649</v>
      </c>
    </row>
    <row r="20" spans="1:3" ht="27.75" customHeight="1">
      <c r="A20" s="19"/>
      <c r="B20" s="12" t="s">
        <v>145</v>
      </c>
      <c r="C20" s="160">
        <v>50000</v>
      </c>
    </row>
    <row r="21" spans="1:3" ht="20.25" customHeight="1">
      <c r="A21" s="19"/>
      <c r="B21" s="12" t="s">
        <v>146</v>
      </c>
      <c r="C21" s="160">
        <v>5000000</v>
      </c>
    </row>
    <row r="22" spans="1:3" ht="20.25" customHeight="1">
      <c r="A22" s="19"/>
      <c r="B22" s="12" t="s">
        <v>147</v>
      </c>
      <c r="C22" s="160">
        <v>1850000</v>
      </c>
    </row>
    <row r="23" spans="1:3" ht="20.25" customHeight="1">
      <c r="A23" s="19"/>
      <c r="B23" s="12" t="s">
        <v>148</v>
      </c>
      <c r="C23" s="160">
        <v>127000</v>
      </c>
    </row>
    <row r="24" spans="1:3" ht="20.25" customHeight="1">
      <c r="A24" s="19"/>
      <c r="B24" s="12" t="s">
        <v>149</v>
      </c>
      <c r="C24" s="160">
        <v>320000</v>
      </c>
    </row>
    <row r="25" spans="1:3" ht="20.25" customHeight="1">
      <c r="A25" s="19"/>
      <c r="B25" s="12" t="s">
        <v>150</v>
      </c>
      <c r="C25" s="160">
        <v>30000</v>
      </c>
    </row>
    <row r="26" spans="1:3" ht="20.25" customHeight="1">
      <c r="A26" s="19"/>
      <c r="B26" s="12" t="s">
        <v>151</v>
      </c>
      <c r="C26" s="160">
        <v>6000</v>
      </c>
    </row>
    <row r="27" spans="1:3" ht="20.25" customHeight="1">
      <c r="A27" s="20"/>
      <c r="B27" s="62" t="s">
        <v>152</v>
      </c>
      <c r="C27" s="159">
        <v>135000</v>
      </c>
    </row>
    <row r="28" spans="1:3" ht="20.25" customHeight="1">
      <c r="A28" s="17"/>
      <c r="B28" s="5" t="s">
        <v>153</v>
      </c>
      <c r="C28" s="161">
        <v>1000</v>
      </c>
    </row>
    <row r="29" spans="1:3" ht="20.25" customHeight="1">
      <c r="A29" s="19"/>
      <c r="B29" s="12" t="s">
        <v>154</v>
      </c>
      <c r="C29" s="160">
        <v>260000</v>
      </c>
    </row>
    <row r="30" spans="1:3" ht="20.25" customHeight="1">
      <c r="A30" s="19"/>
      <c r="B30" s="12" t="s">
        <v>155</v>
      </c>
      <c r="C30" s="160">
        <v>15100</v>
      </c>
    </row>
    <row r="31" spans="1:3" ht="20.25" customHeight="1">
      <c r="A31" s="19"/>
      <c r="B31" s="12" t="s">
        <v>156</v>
      </c>
      <c r="C31" s="160">
        <v>650000</v>
      </c>
    </row>
    <row r="32" spans="1:3" ht="20.25" customHeight="1">
      <c r="A32" s="19"/>
      <c r="B32" s="12" t="s">
        <v>157</v>
      </c>
      <c r="C32" s="160">
        <v>237000</v>
      </c>
    </row>
    <row r="33" spans="1:3" ht="18" customHeight="1">
      <c r="A33" s="19"/>
      <c r="B33" s="12" t="s">
        <v>196</v>
      </c>
      <c r="C33" s="160">
        <v>37000</v>
      </c>
    </row>
    <row r="34" spans="1:3" ht="38.25" customHeight="1">
      <c r="A34" s="19"/>
      <c r="B34" s="12" t="s">
        <v>158</v>
      </c>
      <c r="C34" s="160">
        <v>250000</v>
      </c>
    </row>
    <row r="35" spans="1:3" ht="20.25" customHeight="1">
      <c r="A35" s="19"/>
      <c r="B35" s="12" t="s">
        <v>159</v>
      </c>
      <c r="C35" s="160">
        <v>7595549</v>
      </c>
    </row>
    <row r="36" spans="1:3" ht="20.25" customHeight="1">
      <c r="A36" s="20"/>
      <c r="B36" s="62" t="s">
        <v>160</v>
      </c>
      <c r="C36" s="159">
        <v>300000</v>
      </c>
    </row>
    <row r="37" spans="1:3" ht="26.25" customHeight="1">
      <c r="A37" s="63">
        <v>758</v>
      </c>
      <c r="B37" s="167" t="s">
        <v>39</v>
      </c>
      <c r="C37" s="158">
        <f>C38+C39</f>
        <v>7767952</v>
      </c>
    </row>
    <row r="38" spans="1:3" ht="21.75" customHeight="1">
      <c r="A38" s="21"/>
      <c r="B38" s="12" t="s">
        <v>161</v>
      </c>
      <c r="C38" s="160">
        <v>7747952</v>
      </c>
    </row>
    <row r="39" spans="1:3" ht="16.5" customHeight="1">
      <c r="A39" s="24"/>
      <c r="B39" s="62" t="s">
        <v>162</v>
      </c>
      <c r="C39" s="159">
        <v>20000</v>
      </c>
    </row>
    <row r="40" spans="1:3" ht="21" customHeight="1">
      <c r="A40" s="25">
        <v>801</v>
      </c>
      <c r="B40" s="167" t="s">
        <v>7</v>
      </c>
      <c r="C40" s="155">
        <f>C41+C42+C43+C44</f>
        <v>800653</v>
      </c>
    </row>
    <row r="41" spans="1:3" ht="16.5" customHeight="1">
      <c r="A41" s="19"/>
      <c r="B41" s="12" t="s">
        <v>163</v>
      </c>
      <c r="C41" s="156">
        <v>428270</v>
      </c>
    </row>
    <row r="42" spans="1:3" ht="16.5" customHeight="1">
      <c r="A42" s="19"/>
      <c r="B42" s="12" t="s">
        <v>168</v>
      </c>
      <c r="C42" s="156">
        <v>347334</v>
      </c>
    </row>
    <row r="43" spans="1:3" ht="16.5" customHeight="1">
      <c r="A43" s="19"/>
      <c r="B43" s="12" t="s">
        <v>238</v>
      </c>
      <c r="C43" s="156">
        <v>4864</v>
      </c>
    </row>
    <row r="44" spans="1:3" ht="24" customHeight="1">
      <c r="A44" s="20"/>
      <c r="B44" s="62" t="s">
        <v>239</v>
      </c>
      <c r="C44" s="157">
        <f>15650+1270+1120+1045+1100</f>
        <v>20185</v>
      </c>
    </row>
    <row r="45" spans="1:3" ht="18.75" customHeight="1">
      <c r="A45" s="63">
        <v>852</v>
      </c>
      <c r="B45" s="167" t="s">
        <v>8</v>
      </c>
      <c r="C45" s="155">
        <f>SUM(C46:C50)</f>
        <v>4519328</v>
      </c>
    </row>
    <row r="46" spans="1:3" ht="40.5" customHeight="1">
      <c r="A46" s="21"/>
      <c r="B46" s="12" t="s">
        <v>141</v>
      </c>
      <c r="C46" s="156">
        <v>4082500</v>
      </c>
    </row>
    <row r="47" spans="1:3" ht="26.25" customHeight="1">
      <c r="A47" s="21"/>
      <c r="B47" s="12" t="s">
        <v>164</v>
      </c>
      <c r="C47" s="156">
        <f>199000+141500+64300</f>
        <v>404800</v>
      </c>
    </row>
    <row r="48" spans="1:3" ht="16.5" customHeight="1">
      <c r="A48" s="21"/>
      <c r="B48" s="12" t="s">
        <v>167</v>
      </c>
      <c r="C48" s="156">
        <v>31078</v>
      </c>
    </row>
    <row r="49" spans="1:3" ht="24.75" customHeight="1">
      <c r="A49" s="21"/>
      <c r="B49" s="12" t="s">
        <v>142</v>
      </c>
      <c r="C49" s="156">
        <v>350</v>
      </c>
    </row>
    <row r="50" spans="1:3" ht="16.5" customHeight="1">
      <c r="A50" s="24"/>
      <c r="B50" s="62" t="s">
        <v>162</v>
      </c>
      <c r="C50" s="157">
        <v>600</v>
      </c>
    </row>
    <row r="51" spans="1:3" ht="18" customHeight="1">
      <c r="A51" s="63">
        <v>854</v>
      </c>
      <c r="B51" s="167" t="s">
        <v>50</v>
      </c>
      <c r="C51" s="155">
        <f>C52</f>
        <v>238257</v>
      </c>
    </row>
    <row r="52" spans="1:3" ht="22.5" customHeight="1">
      <c r="A52" s="24"/>
      <c r="B52" s="62" t="s">
        <v>166</v>
      </c>
      <c r="C52" s="157">
        <v>238257</v>
      </c>
    </row>
    <row r="53" spans="1:3" ht="17.25" customHeight="1">
      <c r="A53" s="63">
        <v>926</v>
      </c>
      <c r="B53" s="167" t="s">
        <v>9</v>
      </c>
      <c r="C53" s="155">
        <f>SUM(C54:C56)</f>
        <v>100020</v>
      </c>
    </row>
    <row r="54" spans="1:3" ht="17.25" customHeight="1">
      <c r="A54" s="22"/>
      <c r="B54" s="12" t="s">
        <v>240</v>
      </c>
      <c r="C54" s="168">
        <v>17500</v>
      </c>
    </row>
    <row r="55" spans="1:3" ht="36.75" customHeight="1">
      <c r="A55" s="21"/>
      <c r="B55" s="12" t="s">
        <v>165</v>
      </c>
      <c r="C55" s="156">
        <v>80120</v>
      </c>
    </row>
    <row r="56" spans="1:3" ht="15.75" customHeight="1">
      <c r="A56" s="24"/>
      <c r="B56" s="62" t="s">
        <v>143</v>
      </c>
      <c r="C56" s="157">
        <v>2400</v>
      </c>
    </row>
    <row r="57" spans="1:3" ht="16.5" customHeight="1">
      <c r="A57" s="367" t="s">
        <v>10</v>
      </c>
      <c r="B57" s="368"/>
      <c r="C57" s="163">
        <f>C5+C8+C13+C17+C19+C37+C40+C45+C51+C53</f>
        <v>33442577</v>
      </c>
    </row>
    <row r="58" ht="16.5" customHeight="1">
      <c r="C58" s="100"/>
    </row>
    <row r="59" spans="3:4" ht="21" customHeight="1">
      <c r="C59" s="100"/>
      <c r="D59" s="1"/>
    </row>
    <row r="60" spans="3:4" ht="12.75">
      <c r="C60" s="100"/>
      <c r="D60" s="1"/>
    </row>
    <row r="61" ht="12.75">
      <c r="C61" s="100"/>
    </row>
    <row r="62" spans="3:4" ht="12.75">
      <c r="C62" s="100"/>
      <c r="D62" s="1"/>
    </row>
    <row r="63" ht="12.75">
      <c r="C63" s="100"/>
    </row>
  </sheetData>
  <mergeCells count="8">
    <mergeCell ref="A1:C1"/>
    <mergeCell ref="A2:C2"/>
    <mergeCell ref="A3:C3"/>
    <mergeCell ref="A57:B57"/>
    <mergeCell ref="A5:A7"/>
    <mergeCell ref="A8:A12"/>
    <mergeCell ref="A17:A18"/>
    <mergeCell ref="A13:A1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3"/>
  <sheetViews>
    <sheetView workbookViewId="0" topLeftCell="A38">
      <selection activeCell="D70" sqref="D70"/>
    </sheetView>
  </sheetViews>
  <sheetFormatPr defaultColWidth="9.00390625" defaultRowHeight="12.75"/>
  <cols>
    <col min="1" max="1" width="10.375" style="0" customWidth="1"/>
    <col min="2" max="2" width="56.375" style="0" customWidth="1"/>
    <col min="3" max="3" width="13.50390625" style="0" bestFit="1" customWidth="1"/>
    <col min="4" max="4" width="10.125" style="0" bestFit="1" customWidth="1"/>
  </cols>
  <sheetData>
    <row r="1" spans="1:3" ht="18" customHeight="1">
      <c r="A1" s="341" t="s">
        <v>72</v>
      </c>
      <c r="B1" s="341"/>
      <c r="C1" s="341"/>
    </row>
    <row r="2" spans="1:3" ht="19.5" customHeight="1">
      <c r="A2" s="341" t="s">
        <v>394</v>
      </c>
      <c r="B2" s="341"/>
      <c r="C2" s="341"/>
    </row>
    <row r="3" spans="1:3" ht="33.75" customHeight="1">
      <c r="A3" s="375" t="s">
        <v>213</v>
      </c>
      <c r="B3" s="375"/>
      <c r="C3" s="375"/>
    </row>
    <row r="4" spans="1:3" ht="27" customHeight="1">
      <c r="A4" s="16" t="s">
        <v>62</v>
      </c>
      <c r="B4" s="13" t="s">
        <v>0</v>
      </c>
      <c r="C4" s="16" t="s">
        <v>12</v>
      </c>
    </row>
    <row r="5" spans="1:3" ht="19.5" customHeight="1">
      <c r="A5" s="17" t="s">
        <v>63</v>
      </c>
      <c r="B5" s="49" t="s">
        <v>23</v>
      </c>
      <c r="C5" s="174">
        <f>C6+C8</f>
        <v>32100</v>
      </c>
    </row>
    <row r="6" spans="1:3" ht="16.5" customHeight="1">
      <c r="A6" s="18" t="s">
        <v>64</v>
      </c>
      <c r="B6" s="202" t="s">
        <v>24</v>
      </c>
      <c r="C6" s="162">
        <v>3600</v>
      </c>
    </row>
    <row r="7" spans="1:3" ht="16.5" customHeight="1">
      <c r="A7" s="19"/>
      <c r="B7" s="50" t="s">
        <v>17</v>
      </c>
      <c r="C7" s="156">
        <v>3600</v>
      </c>
    </row>
    <row r="8" spans="1:3" ht="16.5" customHeight="1">
      <c r="A8" s="18" t="s">
        <v>65</v>
      </c>
      <c r="B8" s="202" t="s">
        <v>25</v>
      </c>
      <c r="C8" s="162">
        <v>28500</v>
      </c>
    </row>
    <row r="9" spans="1:3" ht="16.5" customHeight="1">
      <c r="A9" s="19"/>
      <c r="B9" s="50" t="s">
        <v>17</v>
      </c>
      <c r="C9" s="156">
        <v>28500</v>
      </c>
    </row>
    <row r="10" spans="1:3" ht="20.25" customHeight="1">
      <c r="A10" s="23" t="s">
        <v>184</v>
      </c>
      <c r="B10" s="49" t="s">
        <v>169</v>
      </c>
      <c r="C10" s="174">
        <f>C11</f>
        <v>455000</v>
      </c>
    </row>
    <row r="11" spans="1:3" ht="16.5" customHeight="1">
      <c r="A11" s="22" t="s">
        <v>185</v>
      </c>
      <c r="B11" s="202" t="s">
        <v>186</v>
      </c>
      <c r="C11" s="162">
        <f>C12</f>
        <v>455000</v>
      </c>
    </row>
    <row r="12" spans="1:3" ht="16.5" customHeight="1">
      <c r="A12" s="24"/>
      <c r="B12" s="203" t="s">
        <v>22</v>
      </c>
      <c r="C12" s="157">
        <v>455000</v>
      </c>
    </row>
    <row r="13" spans="1:3" ht="16.5" customHeight="1">
      <c r="A13" s="21" t="s">
        <v>280</v>
      </c>
      <c r="B13" s="50" t="s">
        <v>26</v>
      </c>
      <c r="C13" s="156">
        <f>C14+C16</f>
        <v>989000</v>
      </c>
    </row>
    <row r="14" spans="1:3" ht="16.5" customHeight="1">
      <c r="A14" s="22" t="s">
        <v>281</v>
      </c>
      <c r="B14" s="202" t="s">
        <v>27</v>
      </c>
      <c r="C14" s="162">
        <f>C15</f>
        <v>985000</v>
      </c>
    </row>
    <row r="15" spans="1:3" ht="16.5" customHeight="1">
      <c r="A15" s="21"/>
      <c r="B15" s="50" t="s">
        <v>17</v>
      </c>
      <c r="C15" s="156">
        <v>985000</v>
      </c>
    </row>
    <row r="16" spans="1:3" ht="16.5" customHeight="1">
      <c r="A16" s="22" t="s">
        <v>282</v>
      </c>
      <c r="B16" s="202" t="s">
        <v>25</v>
      </c>
      <c r="C16" s="162">
        <v>4000</v>
      </c>
    </row>
    <row r="17" spans="1:3" ht="16.5" customHeight="1">
      <c r="A17" s="22"/>
      <c r="B17" s="50" t="s">
        <v>17</v>
      </c>
      <c r="C17" s="168">
        <v>4000</v>
      </c>
    </row>
    <row r="18" spans="1:3" ht="16.5" customHeight="1">
      <c r="A18" s="17" t="s">
        <v>283</v>
      </c>
      <c r="B18" s="49" t="s">
        <v>1</v>
      </c>
      <c r="C18" s="174">
        <f>C19</f>
        <v>1047427</v>
      </c>
    </row>
    <row r="19" spans="1:3" ht="20.25" customHeight="1">
      <c r="A19" s="18" t="s">
        <v>284</v>
      </c>
      <c r="B19" s="202" t="s">
        <v>28</v>
      </c>
      <c r="C19" s="162">
        <f>C20</f>
        <v>1047427</v>
      </c>
    </row>
    <row r="20" spans="1:3" ht="16.5" customHeight="1">
      <c r="A20" s="19"/>
      <c r="B20" s="50" t="s">
        <v>17</v>
      </c>
      <c r="C20" s="156">
        <v>1047427</v>
      </c>
    </row>
    <row r="21" spans="1:3" ht="21" customHeight="1">
      <c r="A21" s="17" t="s">
        <v>285</v>
      </c>
      <c r="B21" s="49" t="s">
        <v>29</v>
      </c>
      <c r="C21" s="174">
        <f>C22+C24</f>
        <v>89000</v>
      </c>
    </row>
    <row r="22" spans="1:3" ht="16.5" customHeight="1">
      <c r="A22" s="18" t="s">
        <v>286</v>
      </c>
      <c r="B22" s="202" t="s">
        <v>30</v>
      </c>
      <c r="C22" s="162">
        <v>15000</v>
      </c>
    </row>
    <row r="23" spans="1:3" ht="16.5" customHeight="1">
      <c r="A23" s="19"/>
      <c r="B23" s="50" t="s">
        <v>17</v>
      </c>
      <c r="C23" s="156">
        <v>15000</v>
      </c>
    </row>
    <row r="24" spans="1:3" ht="16.5" customHeight="1">
      <c r="A24" s="18" t="s">
        <v>287</v>
      </c>
      <c r="B24" s="202" t="s">
        <v>31</v>
      </c>
      <c r="C24" s="162">
        <v>74000</v>
      </c>
    </row>
    <row r="25" spans="1:3" ht="16.5" customHeight="1">
      <c r="A25" s="19"/>
      <c r="B25" s="50" t="s">
        <v>17</v>
      </c>
      <c r="C25" s="156">
        <v>74000</v>
      </c>
    </row>
    <row r="26" spans="1:3" ht="23.25" customHeight="1">
      <c r="A26" s="17" t="s">
        <v>288</v>
      </c>
      <c r="B26" s="49" t="s">
        <v>2</v>
      </c>
      <c r="C26" s="174">
        <f>C27+C30+C32+C39+C36</f>
        <v>4237984</v>
      </c>
    </row>
    <row r="27" spans="1:3" ht="21" customHeight="1">
      <c r="A27" s="18" t="s">
        <v>289</v>
      </c>
      <c r="B27" s="202" t="s">
        <v>32</v>
      </c>
      <c r="C27" s="162">
        <v>168958</v>
      </c>
    </row>
    <row r="28" spans="1:3" ht="16.5" customHeight="1">
      <c r="A28" s="19"/>
      <c r="B28" s="50" t="s">
        <v>15</v>
      </c>
      <c r="C28" s="156">
        <v>168958</v>
      </c>
    </row>
    <row r="29" spans="1:3" ht="17.25" customHeight="1">
      <c r="A29" s="19"/>
      <c r="B29" s="50" t="s">
        <v>16</v>
      </c>
      <c r="C29" s="156">
        <v>123358</v>
      </c>
    </row>
    <row r="30" spans="1:3" ht="21" customHeight="1">
      <c r="A30" s="18" t="s">
        <v>290</v>
      </c>
      <c r="B30" s="202" t="s">
        <v>33</v>
      </c>
      <c r="C30" s="162">
        <v>181708</v>
      </c>
    </row>
    <row r="31" spans="1:3" ht="16.5" customHeight="1">
      <c r="A31" s="19"/>
      <c r="B31" s="50" t="s">
        <v>17</v>
      </c>
      <c r="C31" s="156">
        <v>181708</v>
      </c>
    </row>
    <row r="32" spans="1:3" ht="19.5" customHeight="1">
      <c r="A32" s="18" t="s">
        <v>291</v>
      </c>
      <c r="B32" s="202" t="s">
        <v>34</v>
      </c>
      <c r="C32" s="162">
        <v>3771538</v>
      </c>
    </row>
    <row r="33" spans="1:3" ht="25.5" customHeight="1">
      <c r="A33" s="19"/>
      <c r="B33" s="50" t="s">
        <v>15</v>
      </c>
      <c r="C33" s="156">
        <v>3617538</v>
      </c>
    </row>
    <row r="34" spans="1:3" ht="22.5" customHeight="1">
      <c r="A34" s="19"/>
      <c r="B34" s="50" t="s">
        <v>16</v>
      </c>
      <c r="C34" s="156">
        <f>2159301+176000+402372+57215+85000</f>
        <v>2879888</v>
      </c>
    </row>
    <row r="35" spans="1:3" ht="25.5" customHeight="1">
      <c r="A35" s="19"/>
      <c r="B35" s="50" t="s">
        <v>66</v>
      </c>
      <c r="C35" s="156">
        <v>154000</v>
      </c>
    </row>
    <row r="36" spans="1:3" ht="25.5" customHeight="1">
      <c r="A36" s="18" t="s">
        <v>339</v>
      </c>
      <c r="B36" s="202" t="s">
        <v>340</v>
      </c>
      <c r="C36" s="162">
        <f>C37</f>
        <v>105780</v>
      </c>
    </row>
    <row r="37" spans="1:3" ht="25.5" customHeight="1">
      <c r="A37" s="20"/>
      <c r="B37" s="203" t="s">
        <v>15</v>
      </c>
      <c r="C37" s="157">
        <v>105780</v>
      </c>
    </row>
    <row r="38" spans="1:3" ht="25.5" customHeight="1">
      <c r="A38" s="17"/>
      <c r="B38" s="49" t="s">
        <v>16</v>
      </c>
      <c r="C38" s="174">
        <v>4700</v>
      </c>
    </row>
    <row r="39" spans="1:3" ht="24.75" customHeight="1">
      <c r="A39" s="18" t="s">
        <v>292</v>
      </c>
      <c r="B39" s="202" t="s">
        <v>25</v>
      </c>
      <c r="C39" s="162">
        <f>C40</f>
        <v>10000</v>
      </c>
    </row>
    <row r="40" spans="1:3" ht="16.5" customHeight="1">
      <c r="A40" s="20"/>
      <c r="B40" s="203" t="s">
        <v>17</v>
      </c>
      <c r="C40" s="157">
        <v>10000</v>
      </c>
    </row>
    <row r="41" spans="1:3" ht="30.75" customHeight="1">
      <c r="A41" s="17" t="s">
        <v>293</v>
      </c>
      <c r="B41" s="49" t="s">
        <v>3</v>
      </c>
      <c r="C41" s="161">
        <v>2712</v>
      </c>
    </row>
    <row r="42" spans="1:3" ht="26.25" customHeight="1">
      <c r="A42" s="18" t="s">
        <v>294</v>
      </c>
      <c r="B42" s="202" t="s">
        <v>4</v>
      </c>
      <c r="C42" s="173">
        <v>2712</v>
      </c>
    </row>
    <row r="43" spans="1:3" ht="21" customHeight="1">
      <c r="A43" s="20"/>
      <c r="B43" s="203" t="s">
        <v>17</v>
      </c>
      <c r="C43" s="159">
        <v>2712</v>
      </c>
    </row>
    <row r="44" spans="1:3" ht="24" customHeight="1">
      <c r="A44" s="17" t="s">
        <v>295</v>
      </c>
      <c r="B44" s="49" t="s">
        <v>5</v>
      </c>
      <c r="C44" s="161">
        <v>21000</v>
      </c>
    </row>
    <row r="45" spans="1:3" ht="16.5" customHeight="1">
      <c r="A45" s="18" t="s">
        <v>296</v>
      </c>
      <c r="B45" s="202" t="s">
        <v>35</v>
      </c>
      <c r="C45" s="173">
        <v>11000</v>
      </c>
    </row>
    <row r="46" spans="1:3" ht="16.5" customHeight="1">
      <c r="A46" s="19"/>
      <c r="B46" s="50" t="s">
        <v>17</v>
      </c>
      <c r="C46" s="160">
        <v>11000</v>
      </c>
    </row>
    <row r="47" spans="1:3" ht="16.5" customHeight="1">
      <c r="A47" s="18" t="s">
        <v>297</v>
      </c>
      <c r="B47" s="202" t="s">
        <v>6</v>
      </c>
      <c r="C47" s="173">
        <v>5000</v>
      </c>
    </row>
    <row r="48" spans="1:3" ht="16.5" customHeight="1">
      <c r="A48" s="19"/>
      <c r="B48" s="50" t="s">
        <v>17</v>
      </c>
      <c r="C48" s="160">
        <v>5000</v>
      </c>
    </row>
    <row r="49" spans="1:3" ht="16.5" customHeight="1">
      <c r="A49" s="18" t="s">
        <v>298</v>
      </c>
      <c r="B49" s="202" t="s">
        <v>25</v>
      </c>
      <c r="C49" s="173">
        <v>5000</v>
      </c>
    </row>
    <row r="50" spans="1:3" ht="16.5" customHeight="1">
      <c r="A50" s="20"/>
      <c r="B50" s="203" t="s">
        <v>17</v>
      </c>
      <c r="C50" s="159">
        <v>5000</v>
      </c>
    </row>
    <row r="51" spans="1:3" ht="41.25" customHeight="1">
      <c r="A51" s="17" t="s">
        <v>299</v>
      </c>
      <c r="B51" s="204" t="s">
        <v>36</v>
      </c>
      <c r="C51" s="161">
        <v>55850</v>
      </c>
    </row>
    <row r="52" spans="1:3" ht="45" customHeight="1">
      <c r="A52" s="18" t="s">
        <v>130</v>
      </c>
      <c r="B52" s="205" t="s">
        <v>37</v>
      </c>
      <c r="C52" s="173">
        <v>55850</v>
      </c>
    </row>
    <row r="53" spans="1:3" ht="16.5" customHeight="1">
      <c r="A53" s="19"/>
      <c r="B53" s="206" t="s">
        <v>15</v>
      </c>
      <c r="C53" s="160">
        <v>55850</v>
      </c>
    </row>
    <row r="54" spans="1:3" ht="16.5" customHeight="1">
      <c r="A54" s="20"/>
      <c r="B54" s="207" t="s">
        <v>16</v>
      </c>
      <c r="C54" s="159">
        <f>17000+6000+850+17000</f>
        <v>40850</v>
      </c>
    </row>
    <row r="55" spans="1:3" ht="27.75" customHeight="1">
      <c r="A55" s="17" t="s">
        <v>300</v>
      </c>
      <c r="B55" s="49" t="s">
        <v>38</v>
      </c>
      <c r="C55" s="161">
        <f>C56</f>
        <v>670000</v>
      </c>
    </row>
    <row r="56" spans="1:3" ht="30.75" customHeight="1">
      <c r="A56" s="18" t="s">
        <v>301</v>
      </c>
      <c r="B56" s="202" t="s">
        <v>68</v>
      </c>
      <c r="C56" s="173">
        <f>C57</f>
        <v>670000</v>
      </c>
    </row>
    <row r="57" spans="1:3" ht="16.5" customHeight="1">
      <c r="A57" s="19"/>
      <c r="B57" s="50" t="s">
        <v>15</v>
      </c>
      <c r="C57" s="160">
        <f>C58</f>
        <v>670000</v>
      </c>
    </row>
    <row r="58" spans="1:3" ht="16.5" customHeight="1">
      <c r="A58" s="20"/>
      <c r="B58" s="50" t="s">
        <v>69</v>
      </c>
      <c r="C58" s="159">
        <v>670000</v>
      </c>
    </row>
    <row r="59" spans="1:3" ht="21" customHeight="1">
      <c r="A59" s="23" t="s">
        <v>302</v>
      </c>
      <c r="B59" s="49" t="s">
        <v>39</v>
      </c>
      <c r="C59" s="174">
        <f>C60</f>
        <v>459067</v>
      </c>
    </row>
    <row r="60" spans="1:3" ht="18.75" customHeight="1">
      <c r="A60" s="22" t="s">
        <v>303</v>
      </c>
      <c r="B60" s="202" t="s">
        <v>40</v>
      </c>
      <c r="C60" s="162">
        <f>C61</f>
        <v>459067</v>
      </c>
    </row>
    <row r="61" spans="1:3" ht="16.5" customHeight="1">
      <c r="A61" s="21"/>
      <c r="B61" s="50" t="s">
        <v>41</v>
      </c>
      <c r="C61" s="156">
        <f>C62+C63</f>
        <v>459067</v>
      </c>
    </row>
    <row r="62" spans="1:3" ht="16.5" customHeight="1">
      <c r="A62" s="21"/>
      <c r="B62" s="50" t="s">
        <v>335</v>
      </c>
      <c r="C62" s="156">
        <v>409067</v>
      </c>
    </row>
    <row r="63" spans="1:3" ht="16.5" customHeight="1">
      <c r="A63" s="21"/>
      <c r="B63" s="50" t="s">
        <v>70</v>
      </c>
      <c r="C63" s="156">
        <v>50000</v>
      </c>
    </row>
    <row r="64" spans="1:3" ht="24" customHeight="1">
      <c r="A64" s="23" t="s">
        <v>304</v>
      </c>
      <c r="B64" s="49" t="s">
        <v>7</v>
      </c>
      <c r="C64" s="161">
        <f>C65+C68+C72+C75+C78+C80+C82</f>
        <v>12281496</v>
      </c>
    </row>
    <row r="65" spans="1:3" ht="21" customHeight="1">
      <c r="A65" s="22" t="s">
        <v>305</v>
      </c>
      <c r="B65" s="202" t="s">
        <v>42</v>
      </c>
      <c r="C65" s="173">
        <f>C66</f>
        <v>5300885</v>
      </c>
    </row>
    <row r="66" spans="1:5" ht="16.5" customHeight="1">
      <c r="A66" s="21"/>
      <c r="B66" s="50" t="s">
        <v>15</v>
      </c>
      <c r="C66" s="160">
        <v>5300885</v>
      </c>
      <c r="E66" s="1"/>
    </row>
    <row r="67" spans="1:3" ht="16.5" customHeight="1">
      <c r="A67" s="21"/>
      <c r="B67" s="50" t="s">
        <v>16</v>
      </c>
      <c r="C67" s="160">
        <f>3471561+286513+676657+92151</f>
        <v>4526882</v>
      </c>
    </row>
    <row r="68" spans="1:3" ht="22.5" customHeight="1">
      <c r="A68" s="22" t="s">
        <v>82</v>
      </c>
      <c r="B68" s="202" t="s">
        <v>43</v>
      </c>
      <c r="C68" s="173">
        <f>C69</f>
        <v>3389434</v>
      </c>
    </row>
    <row r="69" spans="1:3" ht="14.25" customHeight="1">
      <c r="A69" s="21"/>
      <c r="B69" s="50" t="s">
        <v>15</v>
      </c>
      <c r="C69" s="160">
        <v>3389434</v>
      </c>
    </row>
    <row r="70" spans="1:3" ht="16.5" customHeight="1">
      <c r="A70" s="24"/>
      <c r="B70" s="203" t="s">
        <v>16</v>
      </c>
      <c r="C70" s="159">
        <f>1908593+149407+369750+50253</f>
        <v>2478003</v>
      </c>
    </row>
    <row r="71" spans="1:3" ht="16.5" customHeight="1">
      <c r="A71" s="23"/>
      <c r="B71" s="49" t="s">
        <v>67</v>
      </c>
      <c r="C71" s="161">
        <v>126471</v>
      </c>
    </row>
    <row r="72" spans="1:3" ht="21" customHeight="1">
      <c r="A72" s="271" t="s">
        <v>306</v>
      </c>
      <c r="B72" s="272" t="s">
        <v>44</v>
      </c>
      <c r="C72" s="273">
        <v>3410192</v>
      </c>
    </row>
    <row r="73" spans="1:3" ht="16.5" customHeight="1">
      <c r="A73" s="23"/>
      <c r="B73" s="49" t="s">
        <v>15</v>
      </c>
      <c r="C73" s="161">
        <v>3410192</v>
      </c>
    </row>
    <row r="74" spans="1:3" ht="16.5" customHeight="1">
      <c r="A74" s="24"/>
      <c r="B74" s="203" t="s">
        <v>16</v>
      </c>
      <c r="C74" s="209">
        <f>2313050+180898+448662+61102</f>
        <v>3003712</v>
      </c>
    </row>
    <row r="75" spans="1:3" ht="21" customHeight="1">
      <c r="A75" s="63" t="s">
        <v>307</v>
      </c>
      <c r="B75" s="208" t="s">
        <v>45</v>
      </c>
      <c r="C75" s="155">
        <f>C76</f>
        <v>30000</v>
      </c>
    </row>
    <row r="76" spans="1:3" ht="16.5" customHeight="1">
      <c r="A76" s="21"/>
      <c r="B76" s="50" t="s">
        <v>15</v>
      </c>
      <c r="C76" s="156">
        <v>30000</v>
      </c>
    </row>
    <row r="77" spans="1:3" ht="16.5" customHeight="1">
      <c r="A77" s="21"/>
      <c r="B77" s="50" t="s">
        <v>67</v>
      </c>
      <c r="C77" s="156">
        <v>15000</v>
      </c>
    </row>
    <row r="78" spans="1:3" ht="16.5" customHeight="1">
      <c r="A78" s="22" t="s">
        <v>187</v>
      </c>
      <c r="B78" s="202" t="s">
        <v>188</v>
      </c>
      <c r="C78" s="162">
        <f>C79</f>
        <v>2000</v>
      </c>
    </row>
    <row r="79" spans="1:3" ht="16.5" customHeight="1">
      <c r="A79" s="21"/>
      <c r="B79" s="50" t="s">
        <v>17</v>
      </c>
      <c r="C79" s="156">
        <v>2000</v>
      </c>
    </row>
    <row r="80" spans="1:3" ht="16.5" customHeight="1">
      <c r="A80" s="22" t="s">
        <v>308</v>
      </c>
      <c r="B80" s="202" t="s">
        <v>46</v>
      </c>
      <c r="C80" s="162">
        <f>C81</f>
        <v>66600</v>
      </c>
    </row>
    <row r="81" spans="1:3" ht="24" customHeight="1">
      <c r="A81" s="21"/>
      <c r="B81" s="50" t="s">
        <v>17</v>
      </c>
      <c r="C81" s="156">
        <v>66600</v>
      </c>
    </row>
    <row r="82" spans="1:3" ht="24" customHeight="1">
      <c r="A82" s="218" t="s">
        <v>341</v>
      </c>
      <c r="B82" s="202" t="s">
        <v>25</v>
      </c>
      <c r="C82" s="220">
        <f>C83</f>
        <v>82385</v>
      </c>
    </row>
    <row r="83" spans="1:3" ht="24" customHeight="1">
      <c r="A83" s="21"/>
      <c r="B83" s="50" t="s">
        <v>17</v>
      </c>
      <c r="C83" s="156">
        <v>82385</v>
      </c>
    </row>
    <row r="84" spans="1:3" ht="16.5" customHeight="1">
      <c r="A84" s="17" t="s">
        <v>309</v>
      </c>
      <c r="B84" s="49" t="s">
        <v>47</v>
      </c>
      <c r="C84" s="174">
        <f>C85</f>
        <v>241166</v>
      </c>
    </row>
    <row r="85" spans="1:3" ht="16.5" customHeight="1">
      <c r="A85" s="18" t="s">
        <v>310</v>
      </c>
      <c r="B85" s="202" t="s">
        <v>48</v>
      </c>
      <c r="C85" s="162">
        <f>C86</f>
        <v>241166</v>
      </c>
    </row>
    <row r="86" spans="1:3" ht="16.5" customHeight="1">
      <c r="A86" s="19"/>
      <c r="B86" s="50" t="s">
        <v>15</v>
      </c>
      <c r="C86" s="156">
        <f>237166+4000</f>
        <v>241166</v>
      </c>
    </row>
    <row r="87" spans="1:3" ht="16.5" customHeight="1">
      <c r="A87" s="19"/>
      <c r="B87" s="50" t="s">
        <v>16</v>
      </c>
      <c r="C87" s="156">
        <v>104779</v>
      </c>
    </row>
    <row r="88" spans="1:3" ht="16.5" customHeight="1">
      <c r="A88" s="19"/>
      <c r="B88" s="50" t="s">
        <v>67</v>
      </c>
      <c r="C88" s="156">
        <v>20000</v>
      </c>
    </row>
    <row r="89" spans="1:3" ht="21" customHeight="1">
      <c r="A89" s="23" t="s">
        <v>311</v>
      </c>
      <c r="B89" s="49" t="s">
        <v>8</v>
      </c>
      <c r="C89" s="174">
        <f>C90+C93+C95+C97+C99+C102+C105</f>
        <v>6009671</v>
      </c>
    </row>
    <row r="90" spans="1:3" ht="29.25" customHeight="1">
      <c r="A90" s="22" t="s">
        <v>189</v>
      </c>
      <c r="B90" s="202" t="s">
        <v>190</v>
      </c>
      <c r="C90" s="162">
        <v>3711000</v>
      </c>
    </row>
    <row r="91" spans="1:3" ht="16.5" customHeight="1">
      <c r="A91" s="21"/>
      <c r="B91" s="50" t="s">
        <v>15</v>
      </c>
      <c r="C91" s="156">
        <v>3711000</v>
      </c>
    </row>
    <row r="92" spans="1:3" ht="16.5" customHeight="1">
      <c r="A92" s="21"/>
      <c r="B92" s="50" t="s">
        <v>338</v>
      </c>
      <c r="C92" s="156">
        <v>66498</v>
      </c>
    </row>
    <row r="93" spans="1:3" ht="32.25" customHeight="1">
      <c r="A93" s="22" t="s">
        <v>312</v>
      </c>
      <c r="B93" s="202" t="s">
        <v>19</v>
      </c>
      <c r="C93" s="162">
        <v>27500</v>
      </c>
    </row>
    <row r="94" spans="1:3" ht="16.5" customHeight="1">
      <c r="A94" s="21"/>
      <c r="B94" s="50" t="s">
        <v>17</v>
      </c>
      <c r="C94" s="156">
        <v>27500</v>
      </c>
    </row>
    <row r="95" spans="1:3" ht="28.5" customHeight="1">
      <c r="A95" s="22" t="s">
        <v>313</v>
      </c>
      <c r="B95" s="202" t="s">
        <v>20</v>
      </c>
      <c r="C95" s="162">
        <v>723000</v>
      </c>
    </row>
    <row r="96" spans="1:3" ht="16.5" customHeight="1">
      <c r="A96" s="21"/>
      <c r="B96" s="50" t="s">
        <v>17</v>
      </c>
      <c r="C96" s="156">
        <v>723000</v>
      </c>
    </row>
    <row r="97" spans="1:3" ht="24" customHeight="1">
      <c r="A97" s="22" t="s">
        <v>314</v>
      </c>
      <c r="B97" s="202" t="s">
        <v>49</v>
      </c>
      <c r="C97" s="162">
        <v>450000</v>
      </c>
    </row>
    <row r="98" spans="1:3" ht="16.5" customHeight="1">
      <c r="A98" s="21"/>
      <c r="B98" s="50" t="s">
        <v>17</v>
      </c>
      <c r="C98" s="156">
        <v>450000</v>
      </c>
    </row>
    <row r="99" spans="1:3" ht="22.5" customHeight="1">
      <c r="A99" s="22" t="s">
        <v>315</v>
      </c>
      <c r="B99" s="202" t="s">
        <v>21</v>
      </c>
      <c r="C99" s="162">
        <v>805171</v>
      </c>
    </row>
    <row r="100" spans="1:3" ht="16.5" customHeight="1">
      <c r="A100" s="21"/>
      <c r="B100" s="50" t="s">
        <v>15</v>
      </c>
      <c r="C100" s="156">
        <v>805171</v>
      </c>
    </row>
    <row r="101" spans="1:3" ht="16.5" customHeight="1">
      <c r="A101" s="21"/>
      <c r="B101" s="50" t="s">
        <v>16</v>
      </c>
      <c r="C101" s="156">
        <v>730316</v>
      </c>
    </row>
    <row r="102" spans="1:3" ht="18" customHeight="1">
      <c r="A102" s="22" t="s">
        <v>241</v>
      </c>
      <c r="B102" s="202" t="s">
        <v>242</v>
      </c>
      <c r="C102" s="162">
        <v>123000</v>
      </c>
    </row>
    <row r="103" spans="1:3" ht="14.25" customHeight="1">
      <c r="A103" s="21"/>
      <c r="B103" s="50" t="s">
        <v>15</v>
      </c>
      <c r="C103" s="156">
        <v>123000</v>
      </c>
    </row>
    <row r="104" spans="1:3" ht="16.5" customHeight="1">
      <c r="A104" s="21"/>
      <c r="B104" s="50" t="s">
        <v>16</v>
      </c>
      <c r="C104" s="156">
        <v>118743</v>
      </c>
    </row>
    <row r="105" spans="1:3" ht="16.5" customHeight="1">
      <c r="A105" s="22" t="s">
        <v>316</v>
      </c>
      <c r="B105" s="202" t="s">
        <v>25</v>
      </c>
      <c r="C105" s="162">
        <f>C106</f>
        <v>170000</v>
      </c>
    </row>
    <row r="106" spans="1:3" ht="16.5" customHeight="1">
      <c r="A106" s="73"/>
      <c r="B106" s="50" t="s">
        <v>15</v>
      </c>
      <c r="C106" s="168">
        <v>170000</v>
      </c>
    </row>
    <row r="107" spans="1:3" ht="16.5" customHeight="1">
      <c r="A107" s="24"/>
      <c r="B107" s="203" t="s">
        <v>67</v>
      </c>
      <c r="C107" s="157">
        <v>70000</v>
      </c>
    </row>
    <row r="108" spans="1:3" ht="16.5" customHeight="1">
      <c r="A108" s="23" t="s">
        <v>193</v>
      </c>
      <c r="B108" s="49" t="s">
        <v>194</v>
      </c>
      <c r="C108" s="174">
        <v>8000</v>
      </c>
    </row>
    <row r="109" spans="1:3" ht="18" customHeight="1">
      <c r="A109" s="22" t="s">
        <v>195</v>
      </c>
      <c r="B109" s="202" t="s">
        <v>25</v>
      </c>
      <c r="C109" s="162">
        <v>8000</v>
      </c>
    </row>
    <row r="110" spans="1:3" ht="24" customHeight="1">
      <c r="A110" s="237"/>
      <c r="B110" s="203" t="s">
        <v>17</v>
      </c>
      <c r="C110" s="238">
        <v>8000</v>
      </c>
    </row>
    <row r="111" spans="1:3" ht="25.5" customHeight="1">
      <c r="A111" s="23" t="s">
        <v>191</v>
      </c>
      <c r="B111" s="49" t="s">
        <v>50</v>
      </c>
      <c r="C111" s="174">
        <f>C112+C115</f>
        <v>849478</v>
      </c>
    </row>
    <row r="112" spans="1:3" ht="21.75" customHeight="1">
      <c r="A112" s="22" t="s">
        <v>317</v>
      </c>
      <c r="B112" s="202" t="s">
        <v>51</v>
      </c>
      <c r="C112" s="162">
        <v>835878</v>
      </c>
    </row>
    <row r="113" spans="1:3" ht="16.5" customHeight="1">
      <c r="A113" s="73"/>
      <c r="B113" s="50" t="s">
        <v>15</v>
      </c>
      <c r="C113" s="168">
        <v>835878</v>
      </c>
    </row>
    <row r="114" spans="1:3" ht="16.5" customHeight="1">
      <c r="A114" s="21"/>
      <c r="B114" s="50" t="s">
        <v>16</v>
      </c>
      <c r="C114" s="156">
        <v>551435</v>
      </c>
    </row>
    <row r="115" spans="1:3" ht="16.5" customHeight="1">
      <c r="A115" s="22" t="s">
        <v>318</v>
      </c>
      <c r="B115" s="202" t="s">
        <v>319</v>
      </c>
      <c r="C115" s="162">
        <v>13600</v>
      </c>
    </row>
    <row r="116" spans="1:3" ht="17.25" customHeight="1">
      <c r="A116" s="24"/>
      <c r="B116" s="203" t="s">
        <v>17</v>
      </c>
      <c r="C116" s="157">
        <v>13600</v>
      </c>
    </row>
    <row r="117" spans="1:3" ht="21" customHeight="1">
      <c r="A117" s="226" t="s">
        <v>320</v>
      </c>
      <c r="B117" s="221" t="s">
        <v>321</v>
      </c>
      <c r="C117" s="225">
        <f>C118+C120+C122+C124+C126</f>
        <v>1350300</v>
      </c>
    </row>
    <row r="118" spans="1:3" ht="13.5" customHeight="1">
      <c r="A118" s="18" t="s">
        <v>322</v>
      </c>
      <c r="B118" s="219" t="s">
        <v>52</v>
      </c>
      <c r="C118" s="173">
        <v>400000</v>
      </c>
    </row>
    <row r="119" spans="1:3" ht="16.5" customHeight="1">
      <c r="A119" s="210"/>
      <c r="B119" s="217" t="s">
        <v>22</v>
      </c>
      <c r="C119" s="212">
        <v>400000</v>
      </c>
    </row>
    <row r="120" spans="1:3" ht="16.5" customHeight="1">
      <c r="A120" s="18" t="s">
        <v>323</v>
      </c>
      <c r="B120" s="219" t="s">
        <v>53</v>
      </c>
      <c r="C120" s="173">
        <v>219100</v>
      </c>
    </row>
    <row r="121" spans="1:3" ht="16.5" customHeight="1">
      <c r="A121" s="19"/>
      <c r="B121" s="217" t="s">
        <v>17</v>
      </c>
      <c r="C121" s="160">
        <v>219100</v>
      </c>
    </row>
    <row r="122" spans="1:3" ht="16.5" customHeight="1">
      <c r="A122" s="18" t="s">
        <v>324</v>
      </c>
      <c r="B122" s="219" t="s">
        <v>54</v>
      </c>
      <c r="C122" s="173">
        <v>40200</v>
      </c>
    </row>
    <row r="123" spans="1:3" ht="16.5" customHeight="1">
      <c r="A123" s="19"/>
      <c r="B123" s="217" t="s">
        <v>17</v>
      </c>
      <c r="C123" s="160">
        <v>40200</v>
      </c>
    </row>
    <row r="124" spans="1:3" ht="16.5" customHeight="1">
      <c r="A124" s="18" t="s">
        <v>325</v>
      </c>
      <c r="B124" s="219" t="s">
        <v>55</v>
      </c>
      <c r="C124" s="173">
        <v>610000</v>
      </c>
    </row>
    <row r="125" spans="1:3" ht="24" customHeight="1">
      <c r="A125" s="19"/>
      <c r="B125" s="217" t="s">
        <v>17</v>
      </c>
      <c r="C125" s="160">
        <v>610000</v>
      </c>
    </row>
    <row r="126" spans="1:3" ht="16.5" customHeight="1">
      <c r="A126" s="18" t="s">
        <v>326</v>
      </c>
      <c r="B126" s="219" t="s">
        <v>25</v>
      </c>
      <c r="C126" s="173">
        <v>81000</v>
      </c>
    </row>
    <row r="127" spans="1:3" ht="16.5" customHeight="1">
      <c r="A127" s="20"/>
      <c r="B127" s="223" t="s">
        <v>17</v>
      </c>
      <c r="C127" s="159">
        <v>81000</v>
      </c>
    </row>
    <row r="128" spans="1:3" ht="16.5" customHeight="1">
      <c r="A128" s="17" t="s">
        <v>327</v>
      </c>
      <c r="B128" s="221" t="s">
        <v>56</v>
      </c>
      <c r="C128" s="161">
        <f>C129+C132+C135</f>
        <v>1800000</v>
      </c>
    </row>
    <row r="129" spans="1:3" ht="16.5" customHeight="1">
      <c r="A129" s="18" t="s">
        <v>328</v>
      </c>
      <c r="B129" s="219" t="s">
        <v>192</v>
      </c>
      <c r="C129" s="173">
        <v>110000</v>
      </c>
    </row>
    <row r="130" spans="1:3" ht="22.5" customHeight="1">
      <c r="A130" s="210"/>
      <c r="B130" s="217" t="s">
        <v>15</v>
      </c>
      <c r="C130" s="212">
        <v>110000</v>
      </c>
    </row>
    <row r="131" spans="1:3" ht="16.5" customHeight="1">
      <c r="A131" s="19"/>
      <c r="B131" s="217" t="s">
        <v>67</v>
      </c>
      <c r="C131" s="160">
        <v>10000</v>
      </c>
    </row>
    <row r="132" spans="1:3" ht="16.5" customHeight="1">
      <c r="A132" s="18" t="s">
        <v>329</v>
      </c>
      <c r="B132" s="219" t="s">
        <v>57</v>
      </c>
      <c r="C132" s="173">
        <v>1000000</v>
      </c>
    </row>
    <row r="133" spans="1:3" ht="21.75" customHeight="1">
      <c r="A133" s="19"/>
      <c r="B133" s="217" t="s">
        <v>15</v>
      </c>
      <c r="C133" s="160">
        <v>1000000</v>
      </c>
    </row>
    <row r="134" spans="1:3" ht="18.75" customHeight="1">
      <c r="A134" s="210"/>
      <c r="B134" s="217" t="s">
        <v>67</v>
      </c>
      <c r="C134" s="212">
        <v>1000000</v>
      </c>
    </row>
    <row r="135" spans="1:3" ht="16.5" customHeight="1">
      <c r="A135" s="18" t="s">
        <v>330</v>
      </c>
      <c r="B135" s="219" t="s">
        <v>58</v>
      </c>
      <c r="C135" s="173">
        <v>690000</v>
      </c>
    </row>
    <row r="136" spans="1:3" ht="16.5" customHeight="1">
      <c r="A136" s="19"/>
      <c r="B136" s="217" t="s">
        <v>15</v>
      </c>
      <c r="C136" s="160">
        <v>690000</v>
      </c>
    </row>
    <row r="137" spans="1:4" ht="18" customHeight="1">
      <c r="A137" s="222"/>
      <c r="B137" s="223" t="s">
        <v>67</v>
      </c>
      <c r="C137" s="224">
        <v>690000</v>
      </c>
      <c r="D137" s="8"/>
    </row>
    <row r="138" spans="1:3" ht="16.5" customHeight="1">
      <c r="A138" s="227" t="s">
        <v>331</v>
      </c>
      <c r="B138" s="49" t="s">
        <v>9</v>
      </c>
      <c r="C138" s="161">
        <f>C139+C142+C145</f>
        <v>6441166</v>
      </c>
    </row>
    <row r="139" spans="1:3" ht="21" customHeight="1">
      <c r="A139" s="373" t="s">
        <v>332</v>
      </c>
      <c r="B139" s="202" t="s">
        <v>59</v>
      </c>
      <c r="C139" s="173">
        <v>884866</v>
      </c>
    </row>
    <row r="140" spans="1:3" ht="19.5" customHeight="1">
      <c r="A140" s="373"/>
      <c r="B140" s="50" t="s">
        <v>15</v>
      </c>
      <c r="C140" s="212">
        <v>884866</v>
      </c>
    </row>
    <row r="141" spans="1:3" ht="24.75" customHeight="1">
      <c r="A141" s="373"/>
      <c r="B141" s="50" t="s">
        <v>16</v>
      </c>
      <c r="C141" s="160">
        <v>312844</v>
      </c>
    </row>
    <row r="142" spans="1:4" ht="29.25" customHeight="1">
      <c r="A142" s="373" t="s">
        <v>333</v>
      </c>
      <c r="B142" s="202" t="s">
        <v>60</v>
      </c>
      <c r="C142" s="173">
        <f>C143</f>
        <v>50000</v>
      </c>
      <c r="D142" s="1"/>
    </row>
    <row r="143" spans="1:3" ht="20.25" customHeight="1">
      <c r="A143" s="373"/>
      <c r="B143" s="50" t="s">
        <v>15</v>
      </c>
      <c r="C143" s="213">
        <v>50000</v>
      </c>
    </row>
    <row r="144" spans="1:3" ht="20.25" customHeight="1">
      <c r="A144" s="374"/>
      <c r="B144" s="203" t="s">
        <v>67</v>
      </c>
      <c r="C144" s="209">
        <v>45000</v>
      </c>
    </row>
    <row r="145" spans="1:3" ht="23.25" customHeight="1">
      <c r="A145" s="372" t="s">
        <v>334</v>
      </c>
      <c r="B145" s="208" t="s">
        <v>25</v>
      </c>
      <c r="C145" s="239">
        <v>5506300</v>
      </c>
    </row>
    <row r="146" spans="1:3" ht="24" customHeight="1">
      <c r="A146" s="373"/>
      <c r="B146" s="203" t="s">
        <v>71</v>
      </c>
      <c r="C146" s="209">
        <v>5506300</v>
      </c>
    </row>
    <row r="147" spans="1:3" ht="25.5" customHeight="1">
      <c r="A147" s="374"/>
      <c r="B147" s="214" t="s">
        <v>61</v>
      </c>
      <c r="C147" s="211">
        <f>C5+C10+C13+C18+C21+C26+C41+C44+C51+C55+C59+C64+C84+C89+C108+C111+C117+C128+C138</f>
        <v>37040417</v>
      </c>
    </row>
    <row r="148" spans="1:3" ht="12.75">
      <c r="A148" s="7"/>
      <c r="B148" s="2"/>
      <c r="C148" s="1"/>
    </row>
    <row r="149" spans="1:3" ht="12.75">
      <c r="A149" s="7"/>
      <c r="B149" s="2"/>
      <c r="C149" s="1"/>
    </row>
    <row r="150" spans="1:3" ht="12.75">
      <c r="A150" s="7"/>
      <c r="B150" s="2"/>
      <c r="C150" s="1"/>
    </row>
    <row r="151" spans="1:3" ht="12.75">
      <c r="A151" s="7"/>
      <c r="B151" s="2"/>
      <c r="C151" s="1"/>
    </row>
    <row r="152" spans="1:3" ht="12.75">
      <c r="A152" s="7"/>
      <c r="C152" s="1"/>
    </row>
    <row r="153" spans="1:3" ht="12.75">
      <c r="A153" s="7"/>
      <c r="C153" s="1"/>
    </row>
    <row r="154" spans="1:3" ht="12.75">
      <c r="A154" s="7"/>
      <c r="C154" s="1"/>
    </row>
    <row r="155" spans="1:3" ht="12.75">
      <c r="A155" s="7"/>
      <c r="C155" s="1"/>
    </row>
    <row r="156" spans="1:3" ht="12.75">
      <c r="A156" s="7"/>
      <c r="C156" s="1"/>
    </row>
    <row r="157" spans="1:3" ht="12.75">
      <c r="A157" s="7"/>
      <c r="C157" s="1"/>
    </row>
    <row r="158" spans="1:3" ht="12.75">
      <c r="A158" s="7"/>
      <c r="C158" s="1"/>
    </row>
    <row r="159" ht="12.75">
      <c r="A159" s="7"/>
    </row>
    <row r="160" ht="12.75">
      <c r="A160" s="7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</sheetData>
  <mergeCells count="6">
    <mergeCell ref="A145:A147"/>
    <mergeCell ref="A139:A141"/>
    <mergeCell ref="A1:C1"/>
    <mergeCell ref="A2:C2"/>
    <mergeCell ref="A3:C3"/>
    <mergeCell ref="A142:A14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D5" sqref="D5"/>
    </sheetView>
  </sheetViews>
  <sheetFormatPr defaultColWidth="9.00390625" defaultRowHeight="12.75"/>
  <cols>
    <col min="2" max="2" width="55.625" style="0" customWidth="1"/>
    <col min="3" max="3" width="14.50390625" style="0" customWidth="1"/>
    <col min="4" max="4" width="12.375" style="0" bestFit="1" customWidth="1"/>
  </cols>
  <sheetData>
    <row r="1" spans="1:9" ht="15" customHeight="1">
      <c r="A1" s="380" t="s">
        <v>175</v>
      </c>
      <c r="B1" s="380"/>
      <c r="C1" s="380"/>
      <c r="D1" s="59"/>
      <c r="E1" s="59"/>
      <c r="F1" s="59"/>
      <c r="G1" s="59"/>
      <c r="H1" s="59"/>
      <c r="I1" s="59"/>
    </row>
    <row r="2" spans="1:9" ht="13.5" customHeight="1">
      <c r="A2" s="380" t="s">
        <v>393</v>
      </c>
      <c r="B2" s="380"/>
      <c r="C2" s="380"/>
      <c r="D2" s="59"/>
      <c r="E2" s="59"/>
      <c r="F2" s="59"/>
      <c r="G2" s="59"/>
      <c r="H2" s="59"/>
      <c r="I2" s="59"/>
    </row>
    <row r="3" spans="1:9" ht="42" customHeight="1">
      <c r="A3" s="276" t="s">
        <v>212</v>
      </c>
      <c r="B3" s="276"/>
      <c r="C3" s="276"/>
      <c r="D3" s="59"/>
      <c r="E3" s="59"/>
      <c r="F3" s="59"/>
      <c r="G3" s="59"/>
      <c r="H3" s="59"/>
      <c r="I3" s="59"/>
    </row>
    <row r="4" spans="1:3" ht="24" customHeight="1">
      <c r="A4" s="60" t="s">
        <v>13</v>
      </c>
      <c r="B4" s="28" t="s">
        <v>0</v>
      </c>
      <c r="C4" s="60" t="s">
        <v>12</v>
      </c>
    </row>
    <row r="5" spans="1:3" ht="21.75" customHeight="1">
      <c r="A5" s="384" t="s">
        <v>182</v>
      </c>
      <c r="B5" s="384"/>
      <c r="C5" s="384"/>
    </row>
    <row r="6" spans="1:3" ht="12.75">
      <c r="A6" s="385">
        <v>750</v>
      </c>
      <c r="B6" s="33" t="s">
        <v>2</v>
      </c>
      <c r="C6" s="170">
        <f>C7</f>
        <v>120858</v>
      </c>
    </row>
    <row r="7" spans="1:3" ht="20.25">
      <c r="A7" s="386"/>
      <c r="B7" s="33" t="s">
        <v>176</v>
      </c>
      <c r="C7" s="171">
        <v>120858</v>
      </c>
    </row>
    <row r="8" spans="1:3" ht="20.25">
      <c r="A8" s="385">
        <v>751</v>
      </c>
      <c r="B8" s="33" t="s">
        <v>3</v>
      </c>
      <c r="C8" s="170">
        <f>C9</f>
        <v>2712</v>
      </c>
    </row>
    <row r="9" spans="1:3" ht="20.25">
      <c r="A9" s="386"/>
      <c r="B9" s="33" t="s">
        <v>177</v>
      </c>
      <c r="C9" s="171">
        <v>2712</v>
      </c>
    </row>
    <row r="10" spans="1:4" ht="12.75">
      <c r="A10" s="385">
        <v>852</v>
      </c>
      <c r="B10" s="33" t="s">
        <v>8</v>
      </c>
      <c r="C10" s="170">
        <f>C11</f>
        <v>4082500</v>
      </c>
      <c r="D10" s="169"/>
    </row>
    <row r="11" spans="1:3" ht="20.25">
      <c r="A11" s="386"/>
      <c r="B11" s="33" t="s">
        <v>177</v>
      </c>
      <c r="C11" s="171">
        <f>3711000+27500+221000+123000</f>
        <v>4082500</v>
      </c>
    </row>
    <row r="12" spans="1:3" ht="18" customHeight="1">
      <c r="A12" s="77"/>
      <c r="B12" s="176" t="s">
        <v>178</v>
      </c>
      <c r="C12" s="172">
        <f>C6+C8+C10</f>
        <v>4206070</v>
      </c>
    </row>
    <row r="13" spans="1:3" ht="18.75" customHeight="1">
      <c r="A13" s="381" t="s">
        <v>14</v>
      </c>
      <c r="B13" s="382"/>
      <c r="C13" s="383"/>
    </row>
    <row r="14" spans="1:3" ht="12.75">
      <c r="A14" s="58">
        <v>750</v>
      </c>
      <c r="B14" s="177" t="s">
        <v>2</v>
      </c>
      <c r="C14" s="161">
        <f>C15</f>
        <v>120858</v>
      </c>
    </row>
    <row r="15" spans="1:3" ht="12.75">
      <c r="A15" s="376">
        <v>75011</v>
      </c>
      <c r="B15" s="178" t="s">
        <v>179</v>
      </c>
      <c r="C15" s="173">
        <f>C16</f>
        <v>120858</v>
      </c>
    </row>
    <row r="16" spans="1:3" ht="12.75">
      <c r="A16" s="376"/>
      <c r="B16" s="179" t="s">
        <v>15</v>
      </c>
      <c r="C16" s="160">
        <f>C17</f>
        <v>120858</v>
      </c>
    </row>
    <row r="17" spans="1:3" ht="12.75">
      <c r="A17" s="377"/>
      <c r="B17" s="180" t="s">
        <v>183</v>
      </c>
      <c r="C17" s="159">
        <f>100570+17759+2529</f>
        <v>120858</v>
      </c>
    </row>
    <row r="18" spans="1:3" ht="20.25">
      <c r="A18" s="58">
        <v>751</v>
      </c>
      <c r="B18" s="177" t="s">
        <v>180</v>
      </c>
      <c r="C18" s="161">
        <f>C19</f>
        <v>2712</v>
      </c>
    </row>
    <row r="19" spans="1:3" ht="12.75">
      <c r="A19" s="376">
        <v>75101</v>
      </c>
      <c r="B19" s="178" t="s">
        <v>4</v>
      </c>
      <c r="C19" s="173">
        <f>C20</f>
        <v>2712</v>
      </c>
    </row>
    <row r="20" spans="1:3" ht="12.75">
      <c r="A20" s="377"/>
      <c r="B20" s="180" t="s">
        <v>17</v>
      </c>
      <c r="C20" s="159">
        <v>2712</v>
      </c>
    </row>
    <row r="21" spans="1:3" ht="12.75">
      <c r="A21" s="61">
        <v>852</v>
      </c>
      <c r="B21" s="181" t="s">
        <v>18</v>
      </c>
      <c r="C21" s="174">
        <f>C22+C25+C27+C29</f>
        <v>4082500</v>
      </c>
    </row>
    <row r="22" spans="1:3" ht="20.25">
      <c r="A22" s="376">
        <v>85212</v>
      </c>
      <c r="B22" s="182" t="s">
        <v>181</v>
      </c>
      <c r="C22" s="162">
        <f>C23</f>
        <v>3711000</v>
      </c>
    </row>
    <row r="23" spans="1:3" ht="12.75">
      <c r="A23" s="376"/>
      <c r="B23" s="183" t="s">
        <v>15</v>
      </c>
      <c r="C23" s="156">
        <v>3711000</v>
      </c>
    </row>
    <row r="24" spans="1:3" ht="12.75">
      <c r="A24" s="376"/>
      <c r="B24" s="184" t="s">
        <v>183</v>
      </c>
      <c r="C24" s="156">
        <f>54810+10223+1455</f>
        <v>66488</v>
      </c>
    </row>
    <row r="25" spans="1:3" ht="20.25">
      <c r="A25" s="376">
        <v>85213</v>
      </c>
      <c r="B25" s="182" t="s">
        <v>19</v>
      </c>
      <c r="C25" s="162">
        <f>C26</f>
        <v>27500</v>
      </c>
    </row>
    <row r="26" spans="1:3" ht="21" customHeight="1">
      <c r="A26" s="376"/>
      <c r="B26" s="183" t="s">
        <v>17</v>
      </c>
      <c r="C26" s="156">
        <v>27500</v>
      </c>
    </row>
    <row r="27" spans="1:3" ht="12.75">
      <c r="A27" s="376">
        <v>85214</v>
      </c>
      <c r="B27" s="182" t="s">
        <v>20</v>
      </c>
      <c r="C27" s="162">
        <f>C28</f>
        <v>221000</v>
      </c>
    </row>
    <row r="28" spans="1:3" ht="15.75" customHeight="1">
      <c r="A28" s="377"/>
      <c r="B28" s="184" t="s">
        <v>17</v>
      </c>
      <c r="C28" s="157">
        <f>221000</f>
        <v>221000</v>
      </c>
    </row>
    <row r="29" spans="1:3" ht="15.75" customHeight="1">
      <c r="A29" s="379" t="s">
        <v>241</v>
      </c>
      <c r="B29" s="185" t="s">
        <v>242</v>
      </c>
      <c r="C29" s="175">
        <f>C30</f>
        <v>123000</v>
      </c>
    </row>
    <row r="30" spans="1:3" ht="15.75" customHeight="1">
      <c r="A30" s="376"/>
      <c r="B30" s="189" t="s">
        <v>15</v>
      </c>
      <c r="C30" s="157">
        <v>123000</v>
      </c>
    </row>
    <row r="31" spans="1:3" ht="15.75" customHeight="1">
      <c r="A31" s="377"/>
      <c r="B31" s="189" t="s">
        <v>183</v>
      </c>
      <c r="C31" s="157">
        <f>87661+3500+8473+16789+2320</f>
        <v>118743</v>
      </c>
    </row>
    <row r="32" spans="1:4" ht="17.25" customHeight="1">
      <c r="A32" s="362" t="s">
        <v>10</v>
      </c>
      <c r="B32" s="364"/>
      <c r="C32" s="172">
        <f>C14+C18+C21</f>
        <v>4206070</v>
      </c>
      <c r="D32" s="100"/>
    </row>
    <row r="33" spans="1:3" ht="23.25" customHeight="1">
      <c r="A33" s="378" t="s">
        <v>243</v>
      </c>
      <c r="B33" s="378"/>
      <c r="C33" s="378"/>
    </row>
    <row r="34" spans="1:3" ht="16.5" customHeight="1">
      <c r="A34" s="28">
        <v>750</v>
      </c>
      <c r="B34" s="186" t="s">
        <v>2</v>
      </c>
      <c r="C34" s="171">
        <f>C35</f>
        <v>50000</v>
      </c>
    </row>
    <row r="35" spans="1:3" ht="22.5" customHeight="1">
      <c r="A35" s="77">
        <v>75011</v>
      </c>
      <c r="B35" s="187" t="s">
        <v>179</v>
      </c>
      <c r="C35" s="172">
        <v>50000</v>
      </c>
    </row>
    <row r="36" spans="1:3" ht="12.75">
      <c r="A36" s="121">
        <v>852</v>
      </c>
      <c r="B36" s="188" t="s">
        <v>8</v>
      </c>
      <c r="C36" s="171">
        <f>C37</f>
        <v>7000</v>
      </c>
    </row>
    <row r="37" spans="1:3" ht="21.75" customHeight="1">
      <c r="A37" s="77" t="s">
        <v>241</v>
      </c>
      <c r="B37" s="187" t="s">
        <v>242</v>
      </c>
      <c r="C37" s="172">
        <v>7000</v>
      </c>
    </row>
    <row r="38" ht="12.75">
      <c r="C38" s="30"/>
    </row>
    <row r="39" ht="12.75">
      <c r="C39" s="30"/>
    </row>
    <row r="40" ht="12.75">
      <c r="C40" s="30"/>
    </row>
  </sheetData>
  <mergeCells count="16">
    <mergeCell ref="A1:C1"/>
    <mergeCell ref="A2:C2"/>
    <mergeCell ref="A3:C3"/>
    <mergeCell ref="A32:B32"/>
    <mergeCell ref="A13:C13"/>
    <mergeCell ref="A5:C5"/>
    <mergeCell ref="A6:A7"/>
    <mergeCell ref="A8:A9"/>
    <mergeCell ref="A10:A11"/>
    <mergeCell ref="A22:A24"/>
    <mergeCell ref="A19:A20"/>
    <mergeCell ref="A15:A17"/>
    <mergeCell ref="A33:C33"/>
    <mergeCell ref="A29:A31"/>
    <mergeCell ref="A27:A28"/>
    <mergeCell ref="A25:A2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2" sqref="A2:J2"/>
    </sheetView>
  </sheetViews>
  <sheetFormatPr defaultColWidth="9.00390625" defaultRowHeight="12.75"/>
  <cols>
    <col min="2" max="2" width="26.625" style="0" customWidth="1"/>
    <col min="3" max="3" width="19.125" style="0" customWidth="1"/>
    <col min="4" max="4" width="11.125" style="0" customWidth="1"/>
    <col min="5" max="5" width="10.625" style="0" customWidth="1"/>
    <col min="7" max="7" width="11.50390625" style="0" customWidth="1"/>
    <col min="8" max="10" width="10.50390625" style="0" bestFit="1" customWidth="1"/>
  </cols>
  <sheetData>
    <row r="1" spans="1:10" ht="18" customHeight="1">
      <c r="A1" s="279" t="s">
        <v>272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 ht="29.25" customHeight="1">
      <c r="A2" s="279" t="s">
        <v>393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23.25" customHeight="1">
      <c r="A3" s="283" t="s">
        <v>342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2" ht="25.5" customHeight="1">
      <c r="A4" s="280" t="s">
        <v>247</v>
      </c>
      <c r="B4" s="280" t="s">
        <v>248</v>
      </c>
      <c r="C4" s="280" t="s">
        <v>249</v>
      </c>
      <c r="D4" s="278" t="s">
        <v>250</v>
      </c>
      <c r="E4" s="278"/>
      <c r="F4" s="278" t="s">
        <v>253</v>
      </c>
      <c r="G4" s="278" t="s">
        <v>258</v>
      </c>
      <c r="H4" s="278" t="s">
        <v>254</v>
      </c>
      <c r="I4" s="278"/>
      <c r="J4" s="278"/>
      <c r="K4" s="190"/>
      <c r="L4" s="190"/>
    </row>
    <row r="5" spans="1:12" ht="20.25">
      <c r="A5" s="281"/>
      <c r="B5" s="281"/>
      <c r="C5" s="281"/>
      <c r="D5" s="199" t="s">
        <v>251</v>
      </c>
      <c r="E5" s="199" t="s">
        <v>252</v>
      </c>
      <c r="F5" s="278"/>
      <c r="G5" s="278"/>
      <c r="H5" s="200" t="s">
        <v>255</v>
      </c>
      <c r="I5" s="200" t="s">
        <v>256</v>
      </c>
      <c r="J5" s="200" t="s">
        <v>257</v>
      </c>
      <c r="K5" s="190"/>
      <c r="L5" s="190"/>
    </row>
    <row r="6" spans="1:10" ht="12.75">
      <c r="A6" s="193">
        <v>926</v>
      </c>
      <c r="B6" s="195" t="s">
        <v>268</v>
      </c>
      <c r="C6" s="193" t="s">
        <v>269</v>
      </c>
      <c r="D6" s="282">
        <v>2004</v>
      </c>
      <c r="E6" s="282">
        <v>2008</v>
      </c>
      <c r="F6" s="282" t="s">
        <v>271</v>
      </c>
      <c r="G6" s="277">
        <v>13567700</v>
      </c>
      <c r="H6" s="277">
        <v>5393800</v>
      </c>
      <c r="I6" s="277">
        <v>2600000</v>
      </c>
      <c r="J6" s="277">
        <v>2512100</v>
      </c>
    </row>
    <row r="7" spans="1:10" ht="12.75">
      <c r="A7" s="193" t="s">
        <v>259</v>
      </c>
      <c r="B7" s="195" t="s">
        <v>267</v>
      </c>
      <c r="C7" s="193" t="s">
        <v>270</v>
      </c>
      <c r="D7" s="282"/>
      <c r="E7" s="282"/>
      <c r="F7" s="282"/>
      <c r="G7" s="277"/>
      <c r="H7" s="277"/>
      <c r="I7" s="277"/>
      <c r="J7" s="277"/>
    </row>
    <row r="8" spans="1:10" ht="12.75">
      <c r="A8" s="193" t="s">
        <v>260</v>
      </c>
      <c r="B8" s="195"/>
      <c r="C8" s="197"/>
      <c r="D8" s="282"/>
      <c r="E8" s="282"/>
      <c r="F8" s="282"/>
      <c r="G8" s="277"/>
      <c r="H8" s="277"/>
      <c r="I8" s="277"/>
      <c r="J8" s="277"/>
    </row>
    <row r="9" spans="1:10" ht="12.75">
      <c r="A9" s="193" t="s">
        <v>261</v>
      </c>
      <c r="B9" s="195"/>
      <c r="C9" s="197"/>
      <c r="D9" s="282"/>
      <c r="E9" s="282"/>
      <c r="F9" s="282"/>
      <c r="G9" s="277"/>
      <c r="H9" s="277"/>
      <c r="I9" s="277"/>
      <c r="J9" s="277"/>
    </row>
    <row r="10" spans="1:10" ht="12.75">
      <c r="A10" s="193"/>
      <c r="B10" s="195"/>
      <c r="C10" s="197"/>
      <c r="D10" s="282"/>
      <c r="E10" s="282"/>
      <c r="F10" s="282"/>
      <c r="G10" s="277"/>
      <c r="H10" s="277"/>
      <c r="I10" s="277"/>
      <c r="J10" s="277"/>
    </row>
    <row r="11" spans="1:10" ht="12.75">
      <c r="A11" s="193">
        <v>92695</v>
      </c>
      <c r="B11" s="195" t="s">
        <v>264</v>
      </c>
      <c r="C11" s="197"/>
      <c r="D11" s="282"/>
      <c r="E11" s="282"/>
      <c r="F11" s="282"/>
      <c r="G11" s="277"/>
      <c r="H11" s="277"/>
      <c r="I11" s="277"/>
      <c r="J11" s="277"/>
    </row>
    <row r="12" spans="1:10" ht="12.75">
      <c r="A12" s="193" t="s">
        <v>262</v>
      </c>
      <c r="B12" s="195" t="s">
        <v>266</v>
      </c>
      <c r="C12" s="197"/>
      <c r="D12" s="282"/>
      <c r="E12" s="282"/>
      <c r="F12" s="282"/>
      <c r="G12" s="277"/>
      <c r="H12" s="277"/>
      <c r="I12" s="277"/>
      <c r="J12" s="277"/>
    </row>
    <row r="13" spans="1:10" ht="12.75">
      <c r="A13" s="194" t="s">
        <v>263</v>
      </c>
      <c r="B13" s="196" t="s">
        <v>265</v>
      </c>
      <c r="C13" s="198"/>
      <c r="D13" s="282"/>
      <c r="E13" s="282"/>
      <c r="F13" s="282"/>
      <c r="G13" s="277"/>
      <c r="H13" s="277"/>
      <c r="I13" s="277"/>
      <c r="J13" s="277"/>
    </row>
    <row r="14" ht="12.75">
      <c r="B14" s="192"/>
    </row>
  </sheetData>
  <mergeCells count="17">
    <mergeCell ref="A1:J1"/>
    <mergeCell ref="H6:H13"/>
    <mergeCell ref="I6:I13"/>
    <mergeCell ref="J6:J13"/>
    <mergeCell ref="A3:J3"/>
    <mergeCell ref="D6:D13"/>
    <mergeCell ref="G4:G5"/>
    <mergeCell ref="F4:F5"/>
    <mergeCell ref="H4:J4"/>
    <mergeCell ref="F6:F13"/>
    <mergeCell ref="G6:G13"/>
    <mergeCell ref="D4:E4"/>
    <mergeCell ref="A2:J2"/>
    <mergeCell ref="A4:A5"/>
    <mergeCell ref="B4:B5"/>
    <mergeCell ref="C4:C5"/>
    <mergeCell ref="E6:E13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1"/>
  <sheetViews>
    <sheetView workbookViewId="0" topLeftCell="A1">
      <selection activeCell="C96" sqref="C96:J96"/>
    </sheetView>
  </sheetViews>
  <sheetFormatPr defaultColWidth="9.00390625" defaultRowHeight="12.75"/>
  <cols>
    <col min="1" max="1" width="21.50390625" style="0" customWidth="1"/>
    <col min="2" max="2" width="11.375" style="0" customWidth="1"/>
    <col min="3" max="3" width="6.50390625" style="0" customWidth="1"/>
    <col min="4" max="4" width="9.50390625" style="0" customWidth="1"/>
    <col min="6" max="6" width="9.375" style="0" customWidth="1"/>
    <col min="7" max="7" width="9.00390625" style="0" customWidth="1"/>
    <col min="8" max="8" width="10.50390625" style="0" customWidth="1"/>
    <col min="9" max="9" width="9.875" style="0" customWidth="1"/>
    <col min="10" max="10" width="10.50390625" style="0" customWidth="1"/>
    <col min="11" max="11" width="10.375" style="0" customWidth="1"/>
    <col min="12" max="12" width="9.375" style="0" customWidth="1"/>
    <col min="13" max="13" width="8.625" style="0" customWidth="1"/>
  </cols>
  <sheetData>
    <row r="1" spans="1:11" ht="21.75" customHeight="1">
      <c r="A1" s="262" t="s">
        <v>232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3" ht="12.75">
      <c r="A2" s="263" t="s">
        <v>0</v>
      </c>
      <c r="B2" s="54" t="s">
        <v>126</v>
      </c>
      <c r="C2" s="296" t="s">
        <v>127</v>
      </c>
      <c r="D2" s="297"/>
      <c r="E2" s="297"/>
      <c r="F2" s="297"/>
      <c r="G2" s="297"/>
      <c r="H2" s="297"/>
      <c r="I2" s="297"/>
      <c r="J2" s="297"/>
      <c r="K2" s="297"/>
      <c r="L2" s="297"/>
      <c r="M2" s="298"/>
    </row>
    <row r="3" spans="1:13" ht="12.75">
      <c r="A3" s="264"/>
      <c r="B3" s="52" t="s">
        <v>128</v>
      </c>
      <c r="C3" s="267" t="s">
        <v>197</v>
      </c>
      <c r="D3" s="284">
        <v>2007</v>
      </c>
      <c r="E3" s="269"/>
      <c r="F3" s="284">
        <v>2008</v>
      </c>
      <c r="G3" s="269"/>
      <c r="H3" s="284">
        <v>2009</v>
      </c>
      <c r="I3" s="269"/>
      <c r="J3" s="266">
        <v>2010</v>
      </c>
      <c r="K3" s="266"/>
      <c r="L3" s="284">
        <v>2011</v>
      </c>
      <c r="M3" s="285"/>
    </row>
    <row r="4" spans="1:13" ht="12.75">
      <c r="A4" s="265"/>
      <c r="B4" s="53" t="s">
        <v>210</v>
      </c>
      <c r="C4" s="268"/>
      <c r="D4" s="144" t="s">
        <v>112</v>
      </c>
      <c r="E4" s="144" t="s">
        <v>113</v>
      </c>
      <c r="F4" s="143" t="s">
        <v>112</v>
      </c>
      <c r="G4" s="144" t="s">
        <v>113</v>
      </c>
      <c r="H4" s="144" t="s">
        <v>112</v>
      </c>
      <c r="I4" s="144" t="s">
        <v>113</v>
      </c>
      <c r="J4" s="144" t="s">
        <v>112</v>
      </c>
      <c r="K4" s="144" t="s">
        <v>113</v>
      </c>
      <c r="L4" s="144" t="s">
        <v>112</v>
      </c>
      <c r="M4" s="144" t="s">
        <v>113</v>
      </c>
    </row>
    <row r="5" spans="1:21" ht="12.75">
      <c r="A5" s="51" t="s">
        <v>123</v>
      </c>
      <c r="B5" s="293">
        <v>4240000</v>
      </c>
      <c r="C5" s="83" t="s">
        <v>198</v>
      </c>
      <c r="D5" s="107">
        <f>142000*3</f>
        <v>426000</v>
      </c>
      <c r="E5" s="108">
        <f>26036+25164+22725</f>
        <v>73925</v>
      </c>
      <c r="F5" s="107">
        <v>426000</v>
      </c>
      <c r="G5" s="108">
        <f>15597+14725+12959</f>
        <v>43281</v>
      </c>
      <c r="H5" s="107">
        <f>140000*3</f>
        <v>420000</v>
      </c>
      <c r="I5" s="108">
        <f>5158+4298+3217</f>
        <v>12673</v>
      </c>
      <c r="J5" s="145"/>
      <c r="K5" s="145"/>
      <c r="L5" s="145"/>
      <c r="M5" s="145"/>
      <c r="N5" s="48"/>
      <c r="O5" s="48"/>
      <c r="P5" s="48"/>
      <c r="Q5" s="48"/>
      <c r="R5" s="48"/>
      <c r="S5" s="48"/>
      <c r="T5" s="48"/>
      <c r="U5" s="48"/>
    </row>
    <row r="6" spans="1:21" ht="12.75">
      <c r="A6" s="294" t="s">
        <v>124</v>
      </c>
      <c r="B6" s="293"/>
      <c r="C6" s="83" t="s">
        <v>199</v>
      </c>
      <c r="D6" s="107">
        <v>426000</v>
      </c>
      <c r="E6" s="108">
        <f>22665+21821+20977</f>
        <v>65463</v>
      </c>
      <c r="F6" s="107">
        <v>426000</v>
      </c>
      <c r="G6" s="108">
        <f>12959+11719+10875</f>
        <v>35553</v>
      </c>
      <c r="H6" s="107">
        <v>420000</v>
      </c>
      <c r="I6" s="108">
        <f>2496+1664+832</f>
        <v>4992</v>
      </c>
      <c r="J6" s="145"/>
      <c r="K6" s="145"/>
      <c r="L6" s="145"/>
      <c r="M6" s="145"/>
      <c r="N6" s="48"/>
      <c r="O6" s="48"/>
      <c r="P6" s="48"/>
      <c r="Q6" s="48"/>
      <c r="R6" s="48"/>
      <c r="S6" s="48"/>
      <c r="T6" s="48"/>
      <c r="U6" s="48"/>
    </row>
    <row r="7" spans="1:21" ht="12.75">
      <c r="A7" s="294"/>
      <c r="B7" s="293"/>
      <c r="C7" s="83" t="s">
        <v>200</v>
      </c>
      <c r="D7" s="107">
        <v>426000</v>
      </c>
      <c r="E7" s="108">
        <f>20804+19289+18445</f>
        <v>58538</v>
      </c>
      <c r="F7" s="107">
        <v>426000</v>
      </c>
      <c r="G7" s="108">
        <f>10365+9187+8343</f>
        <v>27895</v>
      </c>
      <c r="H7" s="107"/>
      <c r="I7" s="108"/>
      <c r="J7" s="145"/>
      <c r="K7" s="145"/>
      <c r="L7" s="145"/>
      <c r="M7" s="145"/>
      <c r="N7" s="48"/>
      <c r="O7" s="48"/>
      <c r="P7" s="48"/>
      <c r="Q7" s="48"/>
      <c r="R7" s="48"/>
      <c r="S7" s="48"/>
      <c r="T7" s="48"/>
      <c r="U7" s="48"/>
    </row>
    <row r="8" spans="1:21" ht="21" customHeight="1">
      <c r="A8" s="295"/>
      <c r="B8" s="293"/>
      <c r="C8" s="83" t="s">
        <v>201</v>
      </c>
      <c r="D8" s="107">
        <f>284000+138000</f>
        <v>422000</v>
      </c>
      <c r="E8" s="108">
        <f>17602+16758+16444</f>
        <v>50804</v>
      </c>
      <c r="F8" s="107">
        <v>422000</v>
      </c>
      <c r="G8" s="108">
        <f>7499+6656+6005</f>
        <v>20160</v>
      </c>
      <c r="H8" s="107"/>
      <c r="I8" s="108"/>
      <c r="J8" s="145"/>
      <c r="K8" s="145"/>
      <c r="L8" s="145"/>
      <c r="M8" s="145"/>
      <c r="N8" s="48"/>
      <c r="O8" s="48"/>
      <c r="P8" s="48"/>
      <c r="Q8" s="48"/>
      <c r="R8" s="48"/>
      <c r="S8" s="48"/>
      <c r="T8" s="48"/>
      <c r="U8" s="48"/>
    </row>
    <row r="9" spans="1:21" ht="18.75">
      <c r="A9" s="134" t="s">
        <v>129</v>
      </c>
      <c r="B9" s="270">
        <v>150000</v>
      </c>
      <c r="C9" s="83" t="s">
        <v>198</v>
      </c>
      <c r="D9" s="107">
        <v>37500</v>
      </c>
      <c r="E9" s="108">
        <v>1100</v>
      </c>
      <c r="F9" s="107"/>
      <c r="G9" s="109"/>
      <c r="H9" s="109"/>
      <c r="I9" s="109"/>
      <c r="J9" s="145"/>
      <c r="K9" s="145"/>
      <c r="L9" s="145"/>
      <c r="M9" s="145"/>
      <c r="N9" s="48"/>
      <c r="O9" s="48"/>
      <c r="P9" s="48"/>
      <c r="Q9" s="48"/>
      <c r="R9" s="48"/>
      <c r="S9" s="48"/>
      <c r="T9" s="48"/>
      <c r="U9" s="48"/>
    </row>
    <row r="10" spans="1:21" ht="12.75">
      <c r="A10" s="250" t="s">
        <v>115</v>
      </c>
      <c r="B10" s="254"/>
      <c r="C10" s="83" t="s">
        <v>199</v>
      </c>
      <c r="D10" s="107">
        <v>37500</v>
      </c>
      <c r="E10" s="108">
        <v>830</v>
      </c>
      <c r="F10" s="107"/>
      <c r="G10" s="109"/>
      <c r="H10" s="109"/>
      <c r="I10" s="109"/>
      <c r="J10" s="145"/>
      <c r="K10" s="145"/>
      <c r="L10" s="145"/>
      <c r="M10" s="145"/>
      <c r="N10" s="48"/>
      <c r="O10" s="48"/>
      <c r="P10" s="48"/>
      <c r="Q10" s="48"/>
      <c r="R10" s="48"/>
      <c r="S10" s="48"/>
      <c r="T10" s="48"/>
      <c r="U10" s="48"/>
    </row>
    <row r="11" spans="1:21" ht="12.75">
      <c r="A11" s="250"/>
      <c r="B11" s="254"/>
      <c r="C11" s="83" t="s">
        <v>200</v>
      </c>
      <c r="D11" s="107">
        <v>37500</v>
      </c>
      <c r="E11" s="108">
        <v>550</v>
      </c>
      <c r="F11" s="107"/>
      <c r="G11" s="109"/>
      <c r="H11" s="109"/>
      <c r="I11" s="109"/>
      <c r="J11" s="145"/>
      <c r="K11" s="145"/>
      <c r="L11" s="145"/>
      <c r="M11" s="145"/>
      <c r="N11" s="48"/>
      <c r="O11" s="48"/>
      <c r="P11" s="48"/>
      <c r="Q11" s="48"/>
      <c r="R11" s="48"/>
      <c r="S11" s="48"/>
      <c r="T11" s="48"/>
      <c r="U11" s="48"/>
    </row>
    <row r="12" spans="1:21" ht="17.25" customHeight="1">
      <c r="A12" s="286"/>
      <c r="B12" s="255"/>
      <c r="C12" s="83" t="s">
        <v>201</v>
      </c>
      <c r="D12" s="107">
        <v>37500</v>
      </c>
      <c r="E12" s="108">
        <v>300</v>
      </c>
      <c r="F12" s="107"/>
      <c r="G12" s="109"/>
      <c r="H12" s="109"/>
      <c r="I12" s="109"/>
      <c r="J12" s="145"/>
      <c r="K12" s="145"/>
      <c r="L12" s="145"/>
      <c r="M12" s="145"/>
      <c r="N12" s="48"/>
      <c r="O12" s="48"/>
      <c r="P12" s="48"/>
      <c r="Q12" s="48"/>
      <c r="R12" s="48"/>
      <c r="S12" s="48"/>
      <c r="T12" s="48"/>
      <c r="U12" s="48"/>
    </row>
    <row r="13" spans="1:21" ht="23.25" customHeight="1">
      <c r="A13" s="134" t="s">
        <v>129</v>
      </c>
      <c r="B13" s="256">
        <v>230000</v>
      </c>
      <c r="C13" s="84" t="s">
        <v>198</v>
      </c>
      <c r="D13" s="110">
        <v>30000</v>
      </c>
      <c r="E13" s="111">
        <v>1600</v>
      </c>
      <c r="F13" s="110">
        <v>36000</v>
      </c>
      <c r="G13" s="111">
        <v>830</v>
      </c>
      <c r="H13" s="110"/>
      <c r="I13" s="111"/>
      <c r="J13" s="110"/>
      <c r="K13" s="111"/>
      <c r="L13" s="145"/>
      <c r="M13" s="145"/>
      <c r="N13" s="48"/>
      <c r="O13" s="48"/>
      <c r="P13" s="48"/>
      <c r="Q13" s="48"/>
      <c r="R13" s="48"/>
      <c r="S13" s="48"/>
      <c r="T13" s="48"/>
      <c r="U13" s="48"/>
    </row>
    <row r="14" spans="1:21" ht="12.75">
      <c r="A14" s="250" t="s">
        <v>115</v>
      </c>
      <c r="B14" s="257"/>
      <c r="C14" s="84" t="s">
        <v>199</v>
      </c>
      <c r="D14" s="110">
        <v>30000</v>
      </c>
      <c r="E14" s="111">
        <v>1350</v>
      </c>
      <c r="F14" s="110">
        <v>36000</v>
      </c>
      <c r="G14" s="111">
        <v>650</v>
      </c>
      <c r="H14" s="110"/>
      <c r="I14" s="111"/>
      <c r="J14" s="110"/>
      <c r="K14" s="111"/>
      <c r="L14" s="145"/>
      <c r="M14" s="145"/>
      <c r="N14" s="48"/>
      <c r="O14" s="48"/>
      <c r="P14" s="48"/>
      <c r="Q14" s="48"/>
      <c r="R14" s="48"/>
      <c r="S14" s="48"/>
      <c r="T14" s="48"/>
      <c r="U14" s="48"/>
    </row>
    <row r="15" spans="1:21" ht="12.75">
      <c r="A15" s="250"/>
      <c r="B15" s="257"/>
      <c r="C15" s="84" t="s">
        <v>200</v>
      </c>
      <c r="D15" s="110">
        <v>30000</v>
      </c>
      <c r="E15" s="111">
        <v>1200</v>
      </c>
      <c r="F15" s="110">
        <v>38000</v>
      </c>
      <c r="G15" s="111">
        <v>300</v>
      </c>
      <c r="H15" s="110"/>
      <c r="I15" s="111"/>
      <c r="J15" s="110"/>
      <c r="K15" s="111"/>
      <c r="L15" s="145"/>
      <c r="M15" s="145"/>
      <c r="N15" s="48"/>
      <c r="O15" s="48"/>
      <c r="P15" s="48"/>
      <c r="Q15" s="48"/>
      <c r="R15" s="48"/>
      <c r="S15" s="48"/>
      <c r="T15" s="48"/>
      <c r="U15" s="48"/>
    </row>
    <row r="16" spans="1:21" ht="21.75" customHeight="1">
      <c r="A16" s="286"/>
      <c r="B16" s="258"/>
      <c r="C16" s="83" t="s">
        <v>201</v>
      </c>
      <c r="D16" s="107">
        <v>30000</v>
      </c>
      <c r="E16" s="108">
        <v>1100</v>
      </c>
      <c r="F16" s="107"/>
      <c r="G16" s="108"/>
      <c r="H16" s="107"/>
      <c r="I16" s="108"/>
      <c r="J16" s="107"/>
      <c r="K16" s="108"/>
      <c r="L16" s="145"/>
      <c r="M16" s="145"/>
      <c r="N16" s="48"/>
      <c r="O16" s="48"/>
      <c r="P16" s="48"/>
      <c r="Q16" s="48"/>
      <c r="R16" s="48"/>
      <c r="S16" s="48"/>
      <c r="T16" s="48"/>
      <c r="U16" s="48"/>
    </row>
    <row r="17" spans="1:21" ht="26.25" customHeight="1">
      <c r="A17" s="134" t="s">
        <v>206</v>
      </c>
      <c r="B17" s="256">
        <v>140000</v>
      </c>
      <c r="C17" s="84" t="s">
        <v>198</v>
      </c>
      <c r="D17" s="110">
        <v>15000</v>
      </c>
      <c r="E17" s="111">
        <v>1050</v>
      </c>
      <c r="F17" s="110">
        <v>26666</v>
      </c>
      <c r="G17" s="111">
        <v>600</v>
      </c>
      <c r="H17" s="110"/>
      <c r="I17" s="111"/>
      <c r="J17" s="110"/>
      <c r="K17" s="111"/>
      <c r="L17" s="145"/>
      <c r="M17" s="145"/>
      <c r="N17" s="48"/>
      <c r="O17" s="48"/>
      <c r="P17" s="48"/>
      <c r="Q17" s="48"/>
      <c r="R17" s="48"/>
      <c r="S17" s="48"/>
      <c r="T17" s="48"/>
      <c r="U17" s="48"/>
    </row>
    <row r="18" spans="1:21" ht="12.75">
      <c r="A18" s="250" t="s">
        <v>115</v>
      </c>
      <c r="B18" s="257"/>
      <c r="C18" s="84" t="s">
        <v>199</v>
      </c>
      <c r="D18" s="110">
        <v>15000</v>
      </c>
      <c r="E18" s="111">
        <v>950</v>
      </c>
      <c r="F18" s="110">
        <v>26666</v>
      </c>
      <c r="G18" s="111">
        <v>390</v>
      </c>
      <c r="H18" s="110"/>
      <c r="I18" s="111"/>
      <c r="J18" s="110"/>
      <c r="K18" s="111"/>
      <c r="L18" s="145"/>
      <c r="M18" s="145"/>
      <c r="N18" s="48"/>
      <c r="O18" s="48"/>
      <c r="P18" s="48"/>
      <c r="Q18" s="48"/>
      <c r="R18" s="48"/>
      <c r="S18" s="48"/>
      <c r="T18" s="48"/>
      <c r="U18" s="48"/>
    </row>
    <row r="19" spans="1:21" ht="12.75">
      <c r="A19" s="250"/>
      <c r="B19" s="257"/>
      <c r="C19" s="84" t="s">
        <v>200</v>
      </c>
      <c r="D19" s="110">
        <v>15000</v>
      </c>
      <c r="E19" s="111">
        <v>800</v>
      </c>
      <c r="F19" s="110">
        <v>26668</v>
      </c>
      <c r="G19" s="111">
        <v>200</v>
      </c>
      <c r="H19" s="110"/>
      <c r="I19" s="111"/>
      <c r="J19" s="110"/>
      <c r="K19" s="111"/>
      <c r="L19" s="145"/>
      <c r="M19" s="145"/>
      <c r="N19" s="48"/>
      <c r="O19" s="48"/>
      <c r="P19" s="48"/>
      <c r="Q19" s="48"/>
      <c r="R19" s="48"/>
      <c r="S19" s="48"/>
      <c r="T19" s="48"/>
      <c r="U19" s="48"/>
    </row>
    <row r="20" spans="1:21" ht="12.75">
      <c r="A20" s="286"/>
      <c r="B20" s="258"/>
      <c r="C20" s="84" t="s">
        <v>201</v>
      </c>
      <c r="D20" s="110">
        <v>15000</v>
      </c>
      <c r="E20" s="111">
        <v>700</v>
      </c>
      <c r="F20" s="110"/>
      <c r="G20" s="111"/>
      <c r="H20" s="110"/>
      <c r="I20" s="111"/>
      <c r="J20" s="110"/>
      <c r="K20" s="111"/>
      <c r="L20" s="145"/>
      <c r="M20" s="145"/>
      <c r="N20" s="48"/>
      <c r="O20" s="48"/>
      <c r="P20" s="48"/>
      <c r="Q20" s="48"/>
      <c r="R20" s="48"/>
      <c r="S20" s="48"/>
      <c r="T20" s="48"/>
      <c r="U20" s="48"/>
    </row>
    <row r="21" spans="1:21" ht="24.75" customHeight="1">
      <c r="A21" s="134" t="s">
        <v>206</v>
      </c>
      <c r="B21" s="256">
        <v>2135000</v>
      </c>
      <c r="C21" s="84" t="s">
        <v>198</v>
      </c>
      <c r="D21" s="110">
        <v>36250</v>
      </c>
      <c r="E21" s="111">
        <f>9917+8949+8949</f>
        <v>27815</v>
      </c>
      <c r="F21" s="110">
        <v>47500</v>
      </c>
      <c r="G21" s="111">
        <f>8493+8341+8341</f>
        <v>25175</v>
      </c>
      <c r="H21" s="110">
        <v>150000</v>
      </c>
      <c r="I21" s="111">
        <f>7744+7545+7545</f>
        <v>22834</v>
      </c>
      <c r="J21" s="110">
        <v>300000</v>
      </c>
      <c r="K21" s="111">
        <f>5659+5030+5030</f>
        <v>15719</v>
      </c>
      <c r="L21" s="145"/>
      <c r="M21" s="145"/>
      <c r="N21" s="48"/>
      <c r="O21" s="48"/>
      <c r="P21" s="48"/>
      <c r="Q21" s="48"/>
      <c r="R21" s="48"/>
      <c r="S21" s="48"/>
      <c r="T21" s="48"/>
      <c r="U21" s="48"/>
    </row>
    <row r="22" spans="1:21" ht="15.75" customHeight="1">
      <c r="A22" s="135" t="s">
        <v>174</v>
      </c>
      <c r="B22" s="257"/>
      <c r="C22" s="84" t="s">
        <v>199</v>
      </c>
      <c r="D22" s="110">
        <v>36250</v>
      </c>
      <c r="E22" s="111">
        <f>8949+8797+8797</f>
        <v>26543</v>
      </c>
      <c r="F22" s="110">
        <v>47500</v>
      </c>
      <c r="G22" s="111">
        <f>8341+8142+8142</f>
        <v>24625</v>
      </c>
      <c r="H22" s="110">
        <v>150000</v>
      </c>
      <c r="I22" s="111">
        <f>7545+6916+6916</f>
        <v>21377</v>
      </c>
      <c r="J22" s="110">
        <v>300000</v>
      </c>
      <c r="K22" s="111">
        <f>5030+3773+3773</f>
        <v>12576</v>
      </c>
      <c r="L22" s="145"/>
      <c r="M22" s="145"/>
      <c r="N22" s="48"/>
      <c r="O22" s="48"/>
      <c r="P22" s="48"/>
      <c r="Q22" s="48"/>
      <c r="R22" s="48"/>
      <c r="S22" s="48"/>
      <c r="T22" s="48"/>
      <c r="U22" s="48"/>
    </row>
    <row r="23" spans="1:21" ht="15.75" customHeight="1">
      <c r="A23" s="136"/>
      <c r="B23" s="257"/>
      <c r="C23" s="84" t="s">
        <v>200</v>
      </c>
      <c r="D23" s="110">
        <v>36250</v>
      </c>
      <c r="E23" s="111">
        <f>8797+8645+8645</f>
        <v>26087</v>
      </c>
      <c r="F23" s="110">
        <v>47500</v>
      </c>
      <c r="G23" s="111">
        <f>8142+7943+7943</f>
        <v>24028</v>
      </c>
      <c r="H23" s="110">
        <v>150000</v>
      </c>
      <c r="I23" s="111">
        <f>6916+6288+6288</f>
        <v>19492</v>
      </c>
      <c r="J23" s="110">
        <v>300000</v>
      </c>
      <c r="K23" s="111">
        <f>3773+2515+2515</f>
        <v>8803</v>
      </c>
      <c r="L23" s="145"/>
      <c r="M23" s="145"/>
      <c r="N23" s="48"/>
      <c r="O23" s="48"/>
      <c r="P23" s="48"/>
      <c r="Q23" s="48"/>
      <c r="R23" s="48"/>
      <c r="S23" s="48"/>
      <c r="T23" s="48"/>
      <c r="U23" s="48"/>
    </row>
    <row r="24" spans="1:21" ht="25.5" customHeight="1">
      <c r="A24" s="137" t="s">
        <v>207</v>
      </c>
      <c r="B24" s="257"/>
      <c r="C24" s="84" t="s">
        <v>201</v>
      </c>
      <c r="D24" s="110">
        <v>36250</v>
      </c>
      <c r="E24" s="111">
        <f>8645+8493+8493</f>
        <v>25631</v>
      </c>
      <c r="F24" s="110">
        <v>47500</v>
      </c>
      <c r="G24" s="111">
        <f>7943+7744+7744</f>
        <v>23431</v>
      </c>
      <c r="H24" s="110">
        <v>150000</v>
      </c>
      <c r="I24" s="111">
        <f>6288+5659+5659</f>
        <v>17606</v>
      </c>
      <c r="J24" s="110">
        <v>300000</v>
      </c>
      <c r="K24" s="111">
        <f>2515+1258+2516</f>
        <v>6289</v>
      </c>
      <c r="L24" s="146"/>
      <c r="M24" s="146"/>
      <c r="N24" s="48"/>
      <c r="O24" s="48"/>
      <c r="P24" s="48"/>
      <c r="Q24" s="48"/>
      <c r="R24" s="48"/>
      <c r="S24" s="48"/>
      <c r="T24" s="48"/>
      <c r="U24" s="48"/>
    </row>
    <row r="25" spans="1:21" ht="20.25" customHeight="1">
      <c r="A25" s="151" t="s">
        <v>225</v>
      </c>
      <c r="B25" s="256">
        <v>5700000</v>
      </c>
      <c r="C25" s="84" t="s">
        <v>198</v>
      </c>
      <c r="D25" s="110">
        <v>25000</v>
      </c>
      <c r="E25" s="111">
        <f>23565*3</f>
        <v>70695</v>
      </c>
      <c r="F25" s="110">
        <v>50000</v>
      </c>
      <c r="G25" s="111">
        <f>23255+23152+23152</f>
        <v>69559</v>
      </c>
      <c r="H25" s="110">
        <v>100000</v>
      </c>
      <c r="I25" s="111">
        <f>22532+22325+22325</f>
        <v>67182</v>
      </c>
      <c r="J25" s="110">
        <v>200000</v>
      </c>
      <c r="K25" s="111">
        <f>21085+20671+19844</f>
        <v>61600</v>
      </c>
      <c r="L25" s="108">
        <v>250000</v>
      </c>
      <c r="M25" s="108">
        <f>17364+17364+16330</f>
        <v>51058</v>
      </c>
      <c r="N25" s="48"/>
      <c r="O25" s="48"/>
      <c r="P25" s="48"/>
      <c r="Q25" s="48"/>
      <c r="R25" s="48"/>
      <c r="S25" s="48"/>
      <c r="T25" s="48"/>
      <c r="U25" s="48"/>
    </row>
    <row r="26" spans="1:21" ht="15" customHeight="1">
      <c r="A26" s="138"/>
      <c r="B26" s="257"/>
      <c r="C26" s="84" t="s">
        <v>199</v>
      </c>
      <c r="D26" s="110">
        <v>25000</v>
      </c>
      <c r="E26" s="111">
        <f>23565+23462+23462</f>
        <v>70489</v>
      </c>
      <c r="F26" s="110">
        <v>50000</v>
      </c>
      <c r="G26" s="111">
        <f>23152+22945+22945</f>
        <v>69042</v>
      </c>
      <c r="H26" s="110">
        <v>100000</v>
      </c>
      <c r="I26" s="111">
        <f>22325+21912+21912</f>
        <v>66149</v>
      </c>
      <c r="J26" s="110">
        <v>200000</v>
      </c>
      <c r="K26" s="111">
        <f>19880+19844+19018</f>
        <v>58742</v>
      </c>
      <c r="L26" s="108">
        <v>250000</v>
      </c>
      <c r="M26" s="108">
        <f>16330+16330+15297</f>
        <v>47957</v>
      </c>
      <c r="N26" s="48"/>
      <c r="O26" s="48"/>
      <c r="P26" s="48"/>
      <c r="Q26" s="48"/>
      <c r="R26" s="48"/>
      <c r="S26" s="48"/>
      <c r="T26" s="48"/>
      <c r="U26" s="48"/>
    </row>
    <row r="27" spans="1:21" ht="19.5" customHeight="1">
      <c r="A27" s="139"/>
      <c r="B27" s="257"/>
      <c r="C27" s="84" t="s">
        <v>200</v>
      </c>
      <c r="D27" s="110">
        <v>25000</v>
      </c>
      <c r="E27" s="111">
        <f>23462+23358+23358</f>
        <v>70178</v>
      </c>
      <c r="F27" s="110">
        <v>50000</v>
      </c>
      <c r="G27" s="111">
        <f>22945+22738+22738</f>
        <v>68421</v>
      </c>
      <c r="H27" s="110">
        <v>100000</v>
      </c>
      <c r="I27" s="111">
        <f>21912+21498+21498</f>
        <v>64908</v>
      </c>
      <c r="J27" s="110">
        <v>200000</v>
      </c>
      <c r="K27" s="111">
        <f>19018+19018+19018</f>
        <v>57054</v>
      </c>
      <c r="L27" s="108">
        <v>250000</v>
      </c>
      <c r="M27" s="108">
        <f>15297+15297+14263</f>
        <v>44857</v>
      </c>
      <c r="N27" s="48"/>
      <c r="O27" s="48"/>
      <c r="P27" s="48"/>
      <c r="Q27" s="48"/>
      <c r="R27" s="48"/>
      <c r="S27" s="48"/>
      <c r="T27" s="48"/>
      <c r="U27" s="48"/>
    </row>
    <row r="28" spans="1:21" ht="16.5" customHeight="1">
      <c r="A28" s="152" t="s">
        <v>226</v>
      </c>
      <c r="B28" s="258"/>
      <c r="C28" s="83" t="s">
        <v>201</v>
      </c>
      <c r="D28" s="107">
        <v>25000</v>
      </c>
      <c r="E28" s="108">
        <f>23358+23255+23255</f>
        <v>69868</v>
      </c>
      <c r="F28" s="107">
        <v>50000</v>
      </c>
      <c r="G28" s="108">
        <f>22738+22532+22532</f>
        <v>67802</v>
      </c>
      <c r="H28" s="107">
        <v>100000</v>
      </c>
      <c r="I28" s="108">
        <f>21498+21085+21085</f>
        <v>63668</v>
      </c>
      <c r="J28" s="107">
        <v>200000</v>
      </c>
      <c r="K28" s="108">
        <f>18191+18191+17364</f>
        <v>53746</v>
      </c>
      <c r="L28" s="108">
        <v>250000</v>
      </c>
      <c r="M28" s="108">
        <f>14263+14263+13230</f>
        <v>41756</v>
      </c>
      <c r="N28" s="48"/>
      <c r="O28" s="48"/>
      <c r="P28" s="48"/>
      <c r="Q28" s="48"/>
      <c r="R28" s="48"/>
      <c r="S28" s="48"/>
      <c r="T28" s="48"/>
      <c r="U28" s="48"/>
    </row>
    <row r="29" spans="1:21" ht="18.75" customHeight="1">
      <c r="A29" s="140" t="s">
        <v>227</v>
      </c>
      <c r="B29" s="256">
        <v>500000</v>
      </c>
      <c r="C29" s="84" t="s">
        <v>198</v>
      </c>
      <c r="D29" s="110">
        <v>25000</v>
      </c>
      <c r="E29" s="111">
        <v>3700</v>
      </c>
      <c r="F29" s="110">
        <v>50000</v>
      </c>
      <c r="G29" s="111">
        <v>3000</v>
      </c>
      <c r="H29" s="110">
        <v>50000</v>
      </c>
      <c r="I29" s="111">
        <v>1500</v>
      </c>
      <c r="J29" s="110"/>
      <c r="K29" s="111"/>
      <c r="L29" s="145"/>
      <c r="M29" s="145"/>
      <c r="N29" s="48"/>
      <c r="O29" s="48"/>
      <c r="P29" s="48"/>
      <c r="Q29" s="48"/>
      <c r="R29" s="48"/>
      <c r="S29" s="48"/>
      <c r="T29" s="48"/>
      <c r="U29" s="48"/>
    </row>
    <row r="30" spans="1:21" ht="18.75" customHeight="1">
      <c r="A30" s="141"/>
      <c r="B30" s="257"/>
      <c r="C30" s="84" t="s">
        <v>199</v>
      </c>
      <c r="D30" s="110">
        <v>25000</v>
      </c>
      <c r="E30" s="111">
        <v>3500</v>
      </c>
      <c r="F30" s="110">
        <v>50000</v>
      </c>
      <c r="G30" s="111">
        <v>2600</v>
      </c>
      <c r="H30" s="110">
        <v>50000</v>
      </c>
      <c r="I30" s="111">
        <v>1100</v>
      </c>
      <c r="J30" s="110"/>
      <c r="K30" s="111"/>
      <c r="L30" s="145"/>
      <c r="M30" s="145"/>
      <c r="N30" s="48"/>
      <c r="O30" s="48"/>
      <c r="P30" s="48"/>
      <c r="Q30" s="48"/>
      <c r="R30" s="48"/>
      <c r="S30" s="48"/>
      <c r="T30" s="48"/>
      <c r="U30" s="48"/>
    </row>
    <row r="31" spans="1:21" ht="18.75" customHeight="1">
      <c r="A31" s="141"/>
      <c r="B31" s="257"/>
      <c r="C31" s="84" t="s">
        <v>200</v>
      </c>
      <c r="D31" s="110">
        <v>25000</v>
      </c>
      <c r="E31" s="111">
        <v>3300</v>
      </c>
      <c r="F31" s="110">
        <v>50000</v>
      </c>
      <c r="G31" s="111">
        <v>2200</v>
      </c>
      <c r="H31" s="110">
        <v>50000</v>
      </c>
      <c r="I31" s="111">
        <v>740</v>
      </c>
      <c r="J31" s="110"/>
      <c r="K31" s="111"/>
      <c r="L31" s="145"/>
      <c r="M31" s="145"/>
      <c r="N31" s="48"/>
      <c r="O31" s="48"/>
      <c r="P31" s="48"/>
      <c r="Q31" s="48"/>
      <c r="R31" s="48"/>
      <c r="S31" s="48"/>
      <c r="T31" s="48"/>
      <c r="U31" s="48"/>
    </row>
    <row r="32" spans="1:21" ht="18.75" customHeight="1">
      <c r="A32" s="142" t="s">
        <v>228</v>
      </c>
      <c r="B32" s="258"/>
      <c r="C32" s="84" t="s">
        <v>201</v>
      </c>
      <c r="D32" s="110">
        <v>25000</v>
      </c>
      <c r="E32" s="111">
        <v>3150</v>
      </c>
      <c r="F32" s="110">
        <v>50000</v>
      </c>
      <c r="G32" s="111">
        <v>1850</v>
      </c>
      <c r="H32" s="110">
        <v>50000</v>
      </c>
      <c r="I32" s="111">
        <v>370</v>
      </c>
      <c r="J32" s="110"/>
      <c r="K32" s="111"/>
      <c r="L32" s="145"/>
      <c r="M32" s="145"/>
      <c r="N32" s="48"/>
      <c r="O32" s="48"/>
      <c r="P32" s="48"/>
      <c r="Q32" s="48"/>
      <c r="R32" s="48"/>
      <c r="S32" s="48"/>
      <c r="T32" s="48"/>
      <c r="U32" s="48"/>
    </row>
    <row r="33" spans="1:21" ht="12.75">
      <c r="A33" s="287" t="s">
        <v>203</v>
      </c>
      <c r="B33" s="290">
        <f>B5+B9+B13+B17+B21+B25+B29</f>
        <v>13095000</v>
      </c>
      <c r="C33" s="84" t="s">
        <v>198</v>
      </c>
      <c r="D33" s="110">
        <f aca="true" t="shared" si="0" ref="D33:I36">D5+D9+D13+D17+D21+D25+D29</f>
        <v>594750</v>
      </c>
      <c r="E33" s="111">
        <f t="shared" si="0"/>
        <v>179885</v>
      </c>
      <c r="F33" s="110">
        <f t="shared" si="0"/>
        <v>636166</v>
      </c>
      <c r="G33" s="111">
        <f t="shared" si="0"/>
        <v>142445</v>
      </c>
      <c r="H33" s="110">
        <f t="shared" si="0"/>
        <v>720000</v>
      </c>
      <c r="I33" s="111">
        <f t="shared" si="0"/>
        <v>104189</v>
      </c>
      <c r="J33" s="110">
        <f>J21+J25</f>
        <v>500000</v>
      </c>
      <c r="K33" s="111">
        <f>K21+K25</f>
        <v>77319</v>
      </c>
      <c r="L33" s="145">
        <f aca="true" t="shared" si="1" ref="L33:M36">L25</f>
        <v>250000</v>
      </c>
      <c r="M33" s="145">
        <f t="shared" si="1"/>
        <v>51058</v>
      </c>
      <c r="N33" s="48"/>
      <c r="O33" s="48"/>
      <c r="P33" s="48"/>
      <c r="Q33" s="48"/>
      <c r="R33" s="48"/>
      <c r="S33" s="48"/>
      <c r="T33" s="48"/>
      <c r="U33" s="48"/>
    </row>
    <row r="34" spans="1:21" ht="12.75">
      <c r="A34" s="288"/>
      <c r="B34" s="291"/>
      <c r="C34" s="84" t="s">
        <v>199</v>
      </c>
      <c r="D34" s="110">
        <f t="shared" si="0"/>
        <v>594750</v>
      </c>
      <c r="E34" s="111">
        <f t="shared" si="0"/>
        <v>169125</v>
      </c>
      <c r="F34" s="110">
        <f t="shared" si="0"/>
        <v>636166</v>
      </c>
      <c r="G34" s="111">
        <f t="shared" si="0"/>
        <v>132860</v>
      </c>
      <c r="H34" s="110">
        <f t="shared" si="0"/>
        <v>720000</v>
      </c>
      <c r="I34" s="111">
        <f t="shared" si="0"/>
        <v>93618</v>
      </c>
      <c r="J34" s="110">
        <f aca="true" t="shared" si="2" ref="J34:K36">J22+J26</f>
        <v>500000</v>
      </c>
      <c r="K34" s="111">
        <f t="shared" si="2"/>
        <v>71318</v>
      </c>
      <c r="L34" s="145">
        <f t="shared" si="1"/>
        <v>250000</v>
      </c>
      <c r="M34" s="145">
        <f t="shared" si="1"/>
        <v>47957</v>
      </c>
      <c r="N34" s="48"/>
      <c r="O34" s="48"/>
      <c r="P34" s="48"/>
      <c r="Q34" s="48"/>
      <c r="R34" s="48"/>
      <c r="S34" s="48"/>
      <c r="T34" s="48"/>
      <c r="U34" s="48"/>
    </row>
    <row r="35" spans="1:21" ht="12.75">
      <c r="A35" s="288"/>
      <c r="B35" s="291"/>
      <c r="C35" s="84" t="s">
        <v>200</v>
      </c>
      <c r="D35" s="110">
        <f t="shared" si="0"/>
        <v>594750</v>
      </c>
      <c r="E35" s="111">
        <f t="shared" si="0"/>
        <v>160653</v>
      </c>
      <c r="F35" s="110">
        <f t="shared" si="0"/>
        <v>638168</v>
      </c>
      <c r="G35" s="111">
        <f t="shared" si="0"/>
        <v>123044</v>
      </c>
      <c r="H35" s="110">
        <f t="shared" si="0"/>
        <v>300000</v>
      </c>
      <c r="I35" s="111">
        <f t="shared" si="0"/>
        <v>85140</v>
      </c>
      <c r="J35" s="110">
        <f t="shared" si="2"/>
        <v>500000</v>
      </c>
      <c r="K35" s="111">
        <f t="shared" si="2"/>
        <v>65857</v>
      </c>
      <c r="L35" s="145">
        <f t="shared" si="1"/>
        <v>250000</v>
      </c>
      <c r="M35" s="145">
        <f t="shared" si="1"/>
        <v>44857</v>
      </c>
      <c r="N35" s="48"/>
      <c r="O35" s="48"/>
      <c r="P35" s="48"/>
      <c r="Q35" s="48"/>
      <c r="R35" s="48"/>
      <c r="S35" s="48"/>
      <c r="T35" s="48"/>
      <c r="U35" s="48"/>
    </row>
    <row r="36" spans="1:21" ht="12.75">
      <c r="A36" s="288"/>
      <c r="B36" s="291"/>
      <c r="C36" s="84" t="s">
        <v>201</v>
      </c>
      <c r="D36" s="110">
        <f t="shared" si="0"/>
        <v>590750</v>
      </c>
      <c r="E36" s="111">
        <f t="shared" si="0"/>
        <v>151553</v>
      </c>
      <c r="F36" s="110">
        <f t="shared" si="0"/>
        <v>569500</v>
      </c>
      <c r="G36" s="111">
        <f t="shared" si="0"/>
        <v>113243</v>
      </c>
      <c r="H36" s="110">
        <f t="shared" si="0"/>
        <v>300000</v>
      </c>
      <c r="I36" s="111">
        <f t="shared" si="0"/>
        <v>81644</v>
      </c>
      <c r="J36" s="110">
        <f t="shared" si="2"/>
        <v>500000</v>
      </c>
      <c r="K36" s="111">
        <f t="shared" si="2"/>
        <v>60035</v>
      </c>
      <c r="L36" s="145">
        <f t="shared" si="1"/>
        <v>250000</v>
      </c>
      <c r="M36" s="145">
        <f t="shared" si="1"/>
        <v>41756</v>
      </c>
      <c r="N36" s="48"/>
      <c r="O36" s="48"/>
      <c r="P36" s="48"/>
      <c r="Q36" s="48"/>
      <c r="R36" s="48"/>
      <c r="S36" s="48"/>
      <c r="T36" s="48"/>
      <c r="U36" s="48"/>
    </row>
    <row r="37" spans="1:13" ht="19.5" customHeight="1">
      <c r="A37" s="289"/>
      <c r="B37" s="292"/>
      <c r="C37" s="82" t="s">
        <v>202</v>
      </c>
      <c r="D37" s="112">
        <f aca="true" t="shared" si="3" ref="D37:M37">D33+D34+D35+D36</f>
        <v>2375000</v>
      </c>
      <c r="E37" s="112">
        <f t="shared" si="3"/>
        <v>661216</v>
      </c>
      <c r="F37" s="112">
        <f t="shared" si="3"/>
        <v>2480000</v>
      </c>
      <c r="G37" s="112">
        <f t="shared" si="3"/>
        <v>511592</v>
      </c>
      <c r="H37" s="112">
        <f t="shared" si="3"/>
        <v>2040000</v>
      </c>
      <c r="I37" s="112">
        <f t="shared" si="3"/>
        <v>364591</v>
      </c>
      <c r="J37" s="112">
        <f t="shared" si="3"/>
        <v>2000000</v>
      </c>
      <c r="K37" s="112">
        <f t="shared" si="3"/>
        <v>274529</v>
      </c>
      <c r="L37" s="112">
        <f t="shared" si="3"/>
        <v>1000000</v>
      </c>
      <c r="M37" s="112">
        <f t="shared" si="3"/>
        <v>185628</v>
      </c>
    </row>
    <row r="38" spans="1:13" ht="19.5" customHeight="1">
      <c r="A38" s="259" t="s">
        <v>204</v>
      </c>
      <c r="B38" s="251"/>
      <c r="C38" s="85" t="s">
        <v>198</v>
      </c>
      <c r="D38" s="260">
        <f>B33-D33</f>
        <v>12500250</v>
      </c>
      <c r="E38" s="261"/>
      <c r="F38" s="260">
        <f>D41-F33</f>
        <v>10083834</v>
      </c>
      <c r="G38" s="261"/>
      <c r="H38" s="260">
        <f>F41-H33</f>
        <v>7520000</v>
      </c>
      <c r="I38" s="261"/>
      <c r="J38" s="260">
        <f>H41-J33</f>
        <v>5700000</v>
      </c>
      <c r="K38" s="261"/>
      <c r="L38" s="299">
        <f>J41-L33</f>
        <v>3950000</v>
      </c>
      <c r="M38" s="300"/>
    </row>
    <row r="39" spans="1:13" ht="19.5" customHeight="1">
      <c r="A39" s="252"/>
      <c r="B39" s="253"/>
      <c r="C39" s="85" t="s">
        <v>199</v>
      </c>
      <c r="D39" s="260">
        <f>D38-D34</f>
        <v>11905500</v>
      </c>
      <c r="E39" s="261"/>
      <c r="F39" s="260">
        <f>F38-F34</f>
        <v>9447668</v>
      </c>
      <c r="G39" s="261"/>
      <c r="H39" s="260">
        <f>H38-H34</f>
        <v>6800000</v>
      </c>
      <c r="I39" s="261"/>
      <c r="J39" s="260">
        <f>J38-J34</f>
        <v>5200000</v>
      </c>
      <c r="K39" s="261"/>
      <c r="L39" s="299">
        <f>L38-L34</f>
        <v>3700000</v>
      </c>
      <c r="M39" s="300"/>
    </row>
    <row r="40" spans="1:13" ht="19.5" customHeight="1">
      <c r="A40" s="252"/>
      <c r="B40" s="253"/>
      <c r="C40" s="85" t="s">
        <v>200</v>
      </c>
      <c r="D40" s="260">
        <f>D39-D35</f>
        <v>11310750</v>
      </c>
      <c r="E40" s="261"/>
      <c r="F40" s="260">
        <f>F39-F35</f>
        <v>8809500</v>
      </c>
      <c r="G40" s="261"/>
      <c r="H40" s="260">
        <f>H39-H35</f>
        <v>6500000</v>
      </c>
      <c r="I40" s="261"/>
      <c r="J40" s="260">
        <f>J39-J35</f>
        <v>4700000</v>
      </c>
      <c r="K40" s="261"/>
      <c r="L40" s="299">
        <f>L39-L35</f>
        <v>3450000</v>
      </c>
      <c r="M40" s="300"/>
    </row>
    <row r="41" spans="1:13" ht="19.5" customHeight="1">
      <c r="A41" s="248"/>
      <c r="B41" s="249"/>
      <c r="C41" s="85" t="s">
        <v>201</v>
      </c>
      <c r="D41" s="260">
        <f>D40-D36</f>
        <v>10720000</v>
      </c>
      <c r="E41" s="261"/>
      <c r="F41" s="260">
        <f>F40-F36</f>
        <v>8240000</v>
      </c>
      <c r="G41" s="261"/>
      <c r="H41" s="260">
        <f>H40-H36</f>
        <v>6200000</v>
      </c>
      <c r="I41" s="261"/>
      <c r="J41" s="260">
        <f>J40-J36</f>
        <v>4200000</v>
      </c>
      <c r="K41" s="261"/>
      <c r="L41" s="299">
        <f>L40-L36</f>
        <v>3200000</v>
      </c>
      <c r="M41" s="300"/>
    </row>
    <row r="42" spans="1:13" ht="18.75" customHeight="1">
      <c r="A42" s="301" t="s">
        <v>233</v>
      </c>
      <c r="B42" s="301"/>
      <c r="C42" s="301"/>
      <c r="D42" s="302">
        <v>30000000</v>
      </c>
      <c r="E42" s="302"/>
      <c r="F42" s="302">
        <v>30000000</v>
      </c>
      <c r="G42" s="302"/>
      <c r="H42" s="302">
        <v>30000000</v>
      </c>
      <c r="I42" s="302"/>
      <c r="J42" s="302">
        <v>30000000</v>
      </c>
      <c r="K42" s="302"/>
      <c r="L42" s="302">
        <v>30000000</v>
      </c>
      <c r="M42" s="302"/>
    </row>
    <row r="43" spans="4:13" ht="12.75">
      <c r="D43" s="148"/>
      <c r="E43" s="148"/>
      <c r="F43" s="147"/>
      <c r="G43" s="147"/>
      <c r="H43" s="147"/>
      <c r="I43" s="147"/>
      <c r="J43" s="147"/>
      <c r="K43" s="147"/>
      <c r="L43" s="147"/>
      <c r="M43" s="147"/>
    </row>
    <row r="44" spans="4:13" ht="12.75">
      <c r="D44" s="147"/>
      <c r="E44" s="147"/>
      <c r="F44" s="147"/>
      <c r="G44" s="147"/>
      <c r="H44" s="148"/>
      <c r="I44" s="147"/>
      <c r="J44" s="147"/>
      <c r="K44" s="147"/>
      <c r="L44" s="147"/>
      <c r="M44" s="147"/>
    </row>
    <row r="45" spans="4:13" ht="12.75">
      <c r="D45" s="147"/>
      <c r="E45" s="147"/>
      <c r="F45" s="147"/>
      <c r="G45" s="147"/>
      <c r="H45" s="147"/>
      <c r="I45" s="147"/>
      <c r="J45" s="147"/>
      <c r="K45" s="147"/>
      <c r="L45" s="147"/>
      <c r="M45" s="147"/>
    </row>
    <row r="46" spans="4:13" ht="12.75">
      <c r="D46" s="147"/>
      <c r="E46" s="147"/>
      <c r="F46" s="147"/>
      <c r="G46" s="147"/>
      <c r="H46" s="147"/>
      <c r="I46" s="147"/>
      <c r="J46" s="147"/>
      <c r="K46" s="147"/>
      <c r="L46" s="147"/>
      <c r="M46" s="147"/>
    </row>
    <row r="47" spans="4:13" ht="12.75">
      <c r="D47" s="147"/>
      <c r="E47" s="147"/>
      <c r="F47" s="147"/>
      <c r="G47" s="147"/>
      <c r="H47" s="147"/>
      <c r="I47" s="147"/>
      <c r="J47" s="147"/>
      <c r="K47" s="147"/>
      <c r="L47" s="147"/>
      <c r="M47" s="147"/>
    </row>
    <row r="48" spans="4:13" ht="12.75">
      <c r="D48" s="147"/>
      <c r="E48" s="147"/>
      <c r="F48" s="147"/>
      <c r="G48" s="147"/>
      <c r="H48" s="147"/>
      <c r="I48" s="147"/>
      <c r="J48" s="147"/>
      <c r="K48" s="147"/>
      <c r="L48" s="147"/>
      <c r="M48" s="147"/>
    </row>
    <row r="49" spans="4:13" ht="12.75">
      <c r="D49" s="147"/>
      <c r="E49" s="147"/>
      <c r="F49" s="147"/>
      <c r="G49" s="147"/>
      <c r="H49" s="147"/>
      <c r="I49" s="147"/>
      <c r="J49" s="147"/>
      <c r="K49" s="147"/>
      <c r="L49" s="147"/>
      <c r="M49" s="147"/>
    </row>
    <row r="50" spans="4:13" ht="12.75">
      <c r="D50" s="147"/>
      <c r="E50" s="147"/>
      <c r="F50" s="147"/>
      <c r="G50" s="147"/>
      <c r="H50" s="147"/>
      <c r="I50" s="147"/>
      <c r="J50" s="147"/>
      <c r="K50" s="147"/>
      <c r="L50" s="147"/>
      <c r="M50" s="147"/>
    </row>
    <row r="51" spans="4:13" ht="12.75">
      <c r="D51" s="147"/>
      <c r="E51" s="147"/>
      <c r="F51" s="147"/>
      <c r="G51" s="147"/>
      <c r="H51" s="147"/>
      <c r="I51" s="147"/>
      <c r="J51" s="147"/>
      <c r="K51" s="147"/>
      <c r="L51" s="147"/>
      <c r="M51" s="147"/>
    </row>
    <row r="52" spans="4:13" ht="12.75">
      <c r="D52" s="147"/>
      <c r="E52" s="147"/>
      <c r="F52" s="147"/>
      <c r="G52" s="147"/>
      <c r="H52" s="147"/>
      <c r="I52" s="147"/>
      <c r="J52" s="147"/>
      <c r="K52" s="147"/>
      <c r="L52" s="147"/>
      <c r="M52" s="147"/>
    </row>
    <row r="53" spans="4:13" ht="12.75">
      <c r="D53" s="147"/>
      <c r="E53" s="147"/>
      <c r="F53" s="147"/>
      <c r="G53" s="147"/>
      <c r="H53" s="147"/>
      <c r="I53" s="147"/>
      <c r="J53" s="147"/>
      <c r="K53" s="147"/>
      <c r="L53" s="147"/>
      <c r="M53" s="147"/>
    </row>
    <row r="54" spans="4:13" ht="12.75">
      <c r="D54" s="147"/>
      <c r="E54" s="147"/>
      <c r="F54" s="147"/>
      <c r="G54" s="147"/>
      <c r="H54" s="147"/>
      <c r="I54" s="147"/>
      <c r="J54" s="147"/>
      <c r="K54" s="147"/>
      <c r="L54" s="147"/>
      <c r="M54" s="147"/>
    </row>
    <row r="55" spans="4:13" ht="12.75">
      <c r="D55" s="147"/>
      <c r="E55" s="147"/>
      <c r="F55" s="147"/>
      <c r="G55" s="147"/>
      <c r="H55" s="147"/>
      <c r="I55" s="147"/>
      <c r="J55" s="147"/>
      <c r="K55" s="147"/>
      <c r="L55" s="147"/>
      <c r="M55" s="147"/>
    </row>
    <row r="56" spans="4:13" ht="12.75">
      <c r="D56" s="147"/>
      <c r="E56" s="147"/>
      <c r="F56" s="147"/>
      <c r="G56" s="147"/>
      <c r="H56" s="147"/>
      <c r="I56" s="147"/>
      <c r="J56" s="147"/>
      <c r="K56" s="147"/>
      <c r="L56" s="147"/>
      <c r="M56" s="147"/>
    </row>
    <row r="57" spans="4:13" ht="12.75">
      <c r="D57" s="147"/>
      <c r="E57" s="147"/>
      <c r="F57" s="147"/>
      <c r="G57" s="147"/>
      <c r="H57" s="147"/>
      <c r="I57" s="147"/>
      <c r="J57" s="147"/>
      <c r="K57" s="147"/>
      <c r="L57" s="147"/>
      <c r="M57" s="147"/>
    </row>
    <row r="58" spans="4:13" ht="12.75">
      <c r="D58" s="147"/>
      <c r="E58" s="147"/>
      <c r="F58" s="147"/>
      <c r="G58" s="147"/>
      <c r="H58" s="147"/>
      <c r="I58" s="147"/>
      <c r="J58" s="147"/>
      <c r="K58" s="147"/>
      <c r="L58" s="147"/>
      <c r="M58" s="147"/>
    </row>
    <row r="60" spans="1:13" ht="24" customHeight="1">
      <c r="A60" s="308" t="s">
        <v>232</v>
      </c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</row>
    <row r="61" spans="1:13" ht="12.75">
      <c r="A61" s="263" t="s">
        <v>0</v>
      </c>
      <c r="B61" s="54" t="s">
        <v>126</v>
      </c>
      <c r="C61" s="305" t="s">
        <v>127</v>
      </c>
      <c r="D61" s="306"/>
      <c r="E61" s="306"/>
      <c r="F61" s="306"/>
      <c r="G61" s="306"/>
      <c r="H61" s="306"/>
      <c r="I61" s="306"/>
      <c r="J61" s="306"/>
      <c r="K61" s="306"/>
      <c r="L61" s="306"/>
      <c r="M61" s="307"/>
    </row>
    <row r="62" spans="1:13" ht="12.75">
      <c r="A62" s="264"/>
      <c r="B62" s="52" t="s">
        <v>128</v>
      </c>
      <c r="C62" s="267" t="s">
        <v>197</v>
      </c>
      <c r="D62" s="284">
        <v>2012</v>
      </c>
      <c r="E62" s="285"/>
      <c r="F62" s="266">
        <v>2013</v>
      </c>
      <c r="G62" s="266"/>
      <c r="H62" s="284">
        <v>2014</v>
      </c>
      <c r="I62" s="285"/>
      <c r="J62" s="303">
        <v>2015</v>
      </c>
      <c r="K62" s="304"/>
      <c r="L62" s="303">
        <v>2016</v>
      </c>
      <c r="M62" s="304"/>
    </row>
    <row r="63" spans="1:13" ht="12.75">
      <c r="A63" s="265"/>
      <c r="B63" s="53" t="s">
        <v>210</v>
      </c>
      <c r="C63" s="268"/>
      <c r="D63" s="144" t="s">
        <v>112</v>
      </c>
      <c r="E63" s="144" t="s">
        <v>113</v>
      </c>
      <c r="F63" s="144" t="s">
        <v>112</v>
      </c>
      <c r="G63" s="144" t="s">
        <v>113</v>
      </c>
      <c r="H63" s="144" t="s">
        <v>112</v>
      </c>
      <c r="I63" s="144" t="s">
        <v>113</v>
      </c>
      <c r="J63" s="144" t="s">
        <v>112</v>
      </c>
      <c r="K63" s="144" t="s">
        <v>113</v>
      </c>
      <c r="L63" s="144" t="s">
        <v>112</v>
      </c>
      <c r="M63" s="144" t="s">
        <v>113</v>
      </c>
    </row>
    <row r="64" spans="1:13" ht="12.75">
      <c r="A64" s="51" t="s">
        <v>123</v>
      </c>
      <c r="B64" s="293">
        <v>4240000</v>
      </c>
      <c r="C64" s="83" t="s">
        <v>198</v>
      </c>
      <c r="D64" s="107"/>
      <c r="E64" s="108"/>
      <c r="F64" s="145"/>
      <c r="G64" s="145"/>
      <c r="H64" s="145"/>
      <c r="I64" s="145"/>
      <c r="J64" s="121"/>
      <c r="K64" s="121"/>
      <c r="L64" s="121"/>
      <c r="M64" s="121"/>
    </row>
    <row r="65" spans="1:13" ht="12.75">
      <c r="A65" s="294" t="s">
        <v>124</v>
      </c>
      <c r="B65" s="293"/>
      <c r="C65" s="83" t="s">
        <v>199</v>
      </c>
      <c r="D65" s="107"/>
      <c r="E65" s="108"/>
      <c r="F65" s="145"/>
      <c r="G65" s="145"/>
      <c r="H65" s="145"/>
      <c r="I65" s="145"/>
      <c r="J65" s="121"/>
      <c r="K65" s="121"/>
      <c r="L65" s="121"/>
      <c r="M65" s="121"/>
    </row>
    <row r="66" spans="1:13" ht="12.75">
      <c r="A66" s="294"/>
      <c r="B66" s="293"/>
      <c r="C66" s="83" t="s">
        <v>200</v>
      </c>
      <c r="D66" s="107"/>
      <c r="E66" s="108"/>
      <c r="F66" s="145"/>
      <c r="G66" s="145"/>
      <c r="H66" s="145"/>
      <c r="I66" s="145"/>
      <c r="J66" s="121"/>
      <c r="K66" s="121"/>
      <c r="L66" s="121"/>
      <c r="M66" s="121"/>
    </row>
    <row r="67" spans="1:13" ht="12.75">
      <c r="A67" s="295"/>
      <c r="B67" s="293"/>
      <c r="C67" s="83" t="s">
        <v>201</v>
      </c>
      <c r="D67" s="107"/>
      <c r="E67" s="108"/>
      <c r="F67" s="145"/>
      <c r="G67" s="145"/>
      <c r="H67" s="145"/>
      <c r="I67" s="145"/>
      <c r="J67" s="121"/>
      <c r="K67" s="121"/>
      <c r="L67" s="121"/>
      <c r="M67" s="121"/>
    </row>
    <row r="68" spans="1:13" ht="18.75">
      <c r="A68" s="134" t="s">
        <v>129</v>
      </c>
      <c r="B68" s="270">
        <v>150000</v>
      </c>
      <c r="C68" s="83" t="s">
        <v>198</v>
      </c>
      <c r="D68" s="109"/>
      <c r="E68" s="109"/>
      <c r="F68" s="145"/>
      <c r="G68" s="145"/>
      <c r="H68" s="145"/>
      <c r="I68" s="145"/>
      <c r="J68" s="121"/>
      <c r="K68" s="121"/>
      <c r="L68" s="121"/>
      <c r="M68" s="121"/>
    </row>
    <row r="69" spans="1:13" ht="12.75">
      <c r="A69" s="250" t="s">
        <v>115</v>
      </c>
      <c r="B69" s="254"/>
      <c r="C69" s="83" t="s">
        <v>199</v>
      </c>
      <c r="D69" s="109"/>
      <c r="E69" s="109"/>
      <c r="F69" s="145"/>
      <c r="G69" s="145"/>
      <c r="H69" s="145"/>
      <c r="I69" s="145"/>
      <c r="J69" s="121"/>
      <c r="K69" s="121"/>
      <c r="L69" s="121"/>
      <c r="M69" s="121"/>
    </row>
    <row r="70" spans="1:13" ht="12.75">
      <c r="A70" s="250"/>
      <c r="B70" s="254"/>
      <c r="C70" s="83" t="s">
        <v>200</v>
      </c>
      <c r="D70" s="109"/>
      <c r="E70" s="109"/>
      <c r="F70" s="145"/>
      <c r="G70" s="145"/>
      <c r="H70" s="145"/>
      <c r="I70" s="145"/>
      <c r="J70" s="121"/>
      <c r="K70" s="121"/>
      <c r="L70" s="121"/>
      <c r="M70" s="121"/>
    </row>
    <row r="71" spans="1:13" ht="12.75">
      <c r="A71" s="286"/>
      <c r="B71" s="255"/>
      <c r="C71" s="83" t="s">
        <v>201</v>
      </c>
      <c r="D71" s="109"/>
      <c r="E71" s="109"/>
      <c r="F71" s="145"/>
      <c r="G71" s="145"/>
      <c r="H71" s="145"/>
      <c r="I71" s="145"/>
      <c r="J71" s="121"/>
      <c r="K71" s="121"/>
      <c r="L71" s="121"/>
      <c r="M71" s="121"/>
    </row>
    <row r="72" spans="1:13" ht="18.75">
      <c r="A72" s="134" t="s">
        <v>129</v>
      </c>
      <c r="B72" s="256">
        <v>230000</v>
      </c>
      <c r="C72" s="84" t="s">
        <v>198</v>
      </c>
      <c r="D72" s="110"/>
      <c r="E72" s="111"/>
      <c r="F72" s="110"/>
      <c r="G72" s="111"/>
      <c r="H72" s="145"/>
      <c r="I72" s="145"/>
      <c r="J72" s="121"/>
      <c r="K72" s="121"/>
      <c r="L72" s="121"/>
      <c r="M72" s="121"/>
    </row>
    <row r="73" spans="1:13" ht="12.75">
      <c r="A73" s="250" t="s">
        <v>115</v>
      </c>
      <c r="B73" s="257"/>
      <c r="C73" s="84" t="s">
        <v>199</v>
      </c>
      <c r="D73" s="110"/>
      <c r="E73" s="111"/>
      <c r="F73" s="110"/>
      <c r="G73" s="111"/>
      <c r="H73" s="145"/>
      <c r="I73" s="145"/>
      <c r="J73" s="121"/>
      <c r="K73" s="121"/>
      <c r="L73" s="121"/>
      <c r="M73" s="121"/>
    </row>
    <row r="74" spans="1:13" ht="12.75">
      <c r="A74" s="250"/>
      <c r="B74" s="257"/>
      <c r="C74" s="84" t="s">
        <v>200</v>
      </c>
      <c r="D74" s="110"/>
      <c r="E74" s="111"/>
      <c r="F74" s="110"/>
      <c r="G74" s="111"/>
      <c r="H74" s="145"/>
      <c r="I74" s="145"/>
      <c r="J74" s="121"/>
      <c r="K74" s="121"/>
      <c r="L74" s="121"/>
      <c r="M74" s="121"/>
    </row>
    <row r="75" spans="1:13" ht="12.75">
      <c r="A75" s="286"/>
      <c r="B75" s="258"/>
      <c r="C75" s="83" t="s">
        <v>201</v>
      </c>
      <c r="D75" s="107"/>
      <c r="E75" s="108"/>
      <c r="F75" s="107"/>
      <c r="G75" s="108"/>
      <c r="H75" s="145"/>
      <c r="I75" s="145"/>
      <c r="J75" s="121"/>
      <c r="K75" s="121"/>
      <c r="L75" s="121"/>
      <c r="M75" s="121"/>
    </row>
    <row r="76" spans="1:13" ht="27" customHeight="1">
      <c r="A76" s="134" t="s">
        <v>206</v>
      </c>
      <c r="B76" s="256">
        <v>140000</v>
      </c>
      <c r="C76" s="84" t="s">
        <v>198</v>
      </c>
      <c r="D76" s="110"/>
      <c r="E76" s="111"/>
      <c r="F76" s="110"/>
      <c r="G76" s="111"/>
      <c r="H76" s="145"/>
      <c r="I76" s="145"/>
      <c r="J76" s="121"/>
      <c r="K76" s="121"/>
      <c r="L76" s="121"/>
      <c r="M76" s="121"/>
    </row>
    <row r="77" spans="1:13" ht="12.75">
      <c r="A77" s="250" t="s">
        <v>115</v>
      </c>
      <c r="B77" s="257"/>
      <c r="C77" s="84" t="s">
        <v>199</v>
      </c>
      <c r="D77" s="110"/>
      <c r="E77" s="111"/>
      <c r="F77" s="110"/>
      <c r="G77" s="111"/>
      <c r="H77" s="145"/>
      <c r="I77" s="145"/>
      <c r="J77" s="121"/>
      <c r="K77" s="121"/>
      <c r="L77" s="121"/>
      <c r="M77" s="121"/>
    </row>
    <row r="78" spans="1:13" ht="12.75">
      <c r="A78" s="250"/>
      <c r="B78" s="257"/>
      <c r="C78" s="84" t="s">
        <v>200</v>
      </c>
      <c r="D78" s="110"/>
      <c r="E78" s="111"/>
      <c r="F78" s="110"/>
      <c r="G78" s="111"/>
      <c r="H78" s="145"/>
      <c r="I78" s="145"/>
      <c r="J78" s="121"/>
      <c r="K78" s="121"/>
      <c r="L78" s="121"/>
      <c r="M78" s="121"/>
    </row>
    <row r="79" spans="1:13" ht="12.75">
      <c r="A79" s="286"/>
      <c r="B79" s="258"/>
      <c r="C79" s="84" t="s">
        <v>201</v>
      </c>
      <c r="D79" s="110"/>
      <c r="E79" s="111"/>
      <c r="F79" s="110"/>
      <c r="G79" s="111"/>
      <c r="H79" s="145"/>
      <c r="I79" s="145"/>
      <c r="J79" s="121"/>
      <c r="K79" s="121"/>
      <c r="L79" s="121"/>
      <c r="M79" s="121"/>
    </row>
    <row r="80" spans="1:13" ht="18.75">
      <c r="A80" s="134" t="s">
        <v>206</v>
      </c>
      <c r="B80" s="256">
        <v>2135000</v>
      </c>
      <c r="C80" s="84" t="s">
        <v>198</v>
      </c>
      <c r="D80" s="110"/>
      <c r="E80" s="111"/>
      <c r="F80" s="110"/>
      <c r="G80" s="111"/>
      <c r="H80" s="145"/>
      <c r="I80" s="145"/>
      <c r="J80" s="121"/>
      <c r="K80" s="121"/>
      <c r="L80" s="121"/>
      <c r="M80" s="121"/>
    </row>
    <row r="81" spans="1:13" ht="12.75">
      <c r="A81" s="135" t="s">
        <v>174</v>
      </c>
      <c r="B81" s="257"/>
      <c r="C81" s="84" t="s">
        <v>199</v>
      </c>
      <c r="D81" s="110"/>
      <c r="E81" s="111"/>
      <c r="F81" s="110"/>
      <c r="G81" s="111"/>
      <c r="H81" s="145"/>
      <c r="I81" s="145"/>
      <c r="J81" s="121"/>
      <c r="K81" s="121"/>
      <c r="L81" s="121"/>
      <c r="M81" s="121"/>
    </row>
    <row r="82" spans="1:13" ht="12.75">
      <c r="A82" s="136"/>
      <c r="B82" s="257"/>
      <c r="C82" s="84" t="s">
        <v>200</v>
      </c>
      <c r="D82" s="110"/>
      <c r="E82" s="111"/>
      <c r="F82" s="110"/>
      <c r="G82" s="111"/>
      <c r="H82" s="145"/>
      <c r="I82" s="145"/>
      <c r="J82" s="121"/>
      <c r="K82" s="121"/>
      <c r="L82" s="121"/>
      <c r="M82" s="121"/>
    </row>
    <row r="83" spans="1:13" ht="12.75">
      <c r="A83" s="137" t="s">
        <v>207</v>
      </c>
      <c r="B83" s="257"/>
      <c r="C83" s="84" t="s">
        <v>201</v>
      </c>
      <c r="D83" s="110"/>
      <c r="E83" s="111"/>
      <c r="F83" s="110"/>
      <c r="G83" s="111"/>
      <c r="H83" s="146"/>
      <c r="I83" s="146"/>
      <c r="J83" s="121"/>
      <c r="K83" s="121"/>
      <c r="L83" s="121"/>
      <c r="M83" s="121"/>
    </row>
    <row r="84" spans="1:13" ht="12.75">
      <c r="A84" s="138" t="s">
        <v>225</v>
      </c>
      <c r="B84" s="256">
        <v>5700000</v>
      </c>
      <c r="C84" s="84" t="s">
        <v>198</v>
      </c>
      <c r="D84" s="110">
        <v>250000</v>
      </c>
      <c r="E84" s="111">
        <f>13230+13230+13230</f>
        <v>39690</v>
      </c>
      <c r="F84" s="110">
        <v>250000</v>
      </c>
      <c r="G84" s="111">
        <f>9095*3</f>
        <v>27285</v>
      </c>
      <c r="H84" s="108">
        <v>300000</v>
      </c>
      <c r="I84" s="108">
        <f>4961+3928+3928</f>
        <v>12817</v>
      </c>
      <c r="J84" s="121"/>
      <c r="K84" s="121"/>
      <c r="L84" s="121"/>
      <c r="M84" s="121"/>
    </row>
    <row r="85" spans="1:13" ht="12.75">
      <c r="A85" s="138"/>
      <c r="B85" s="257"/>
      <c r="C85" s="84" t="s">
        <v>199</v>
      </c>
      <c r="D85" s="110">
        <v>250000</v>
      </c>
      <c r="E85" s="111">
        <f>12196+12196+11162</f>
        <v>35554</v>
      </c>
      <c r="F85" s="110">
        <v>250000</v>
      </c>
      <c r="G85" s="111">
        <f>8062*3</f>
        <v>24186</v>
      </c>
      <c r="H85" s="108">
        <v>300000</v>
      </c>
      <c r="I85" s="108">
        <f>3307+2687+2687</f>
        <v>8681</v>
      </c>
      <c r="J85" s="121"/>
      <c r="K85" s="121"/>
      <c r="L85" s="121"/>
      <c r="M85" s="121"/>
    </row>
    <row r="86" spans="1:13" ht="12.75">
      <c r="A86" s="139"/>
      <c r="B86" s="257"/>
      <c r="C86" s="84" t="s">
        <v>200</v>
      </c>
      <c r="D86" s="110">
        <v>250000</v>
      </c>
      <c r="E86" s="111">
        <f>11162+11162+10129</f>
        <v>32453</v>
      </c>
      <c r="F86" s="110">
        <v>500000</v>
      </c>
      <c r="G86" s="111">
        <f>7028+7028+5995</f>
        <v>20051</v>
      </c>
      <c r="H86" s="108">
        <v>150000</v>
      </c>
      <c r="I86" s="108">
        <f>2067+1447+1447</f>
        <v>4961</v>
      </c>
      <c r="J86" s="121"/>
      <c r="K86" s="121"/>
      <c r="L86" s="121"/>
      <c r="M86" s="121"/>
    </row>
    <row r="87" spans="1:13" ht="12.75">
      <c r="A87" s="139" t="s">
        <v>226</v>
      </c>
      <c r="B87" s="258"/>
      <c r="C87" s="83" t="s">
        <v>201</v>
      </c>
      <c r="D87" s="107">
        <v>250000</v>
      </c>
      <c r="E87" s="108">
        <f>10129+10129+9095</f>
        <v>29353</v>
      </c>
      <c r="F87" s="107">
        <v>250000</v>
      </c>
      <c r="G87" s="108">
        <f>5995+5995+4961</f>
        <v>16951</v>
      </c>
      <c r="H87" s="108">
        <v>200000</v>
      </c>
      <c r="I87" s="108">
        <f>827+827</f>
        <v>1654</v>
      </c>
      <c r="J87" s="121"/>
      <c r="K87" s="121"/>
      <c r="L87" s="121"/>
      <c r="M87" s="121"/>
    </row>
    <row r="88" spans="1:13" ht="12.75">
      <c r="A88" s="140" t="s">
        <v>227</v>
      </c>
      <c r="B88" s="256">
        <v>500000</v>
      </c>
      <c r="C88" s="84" t="s">
        <v>198</v>
      </c>
      <c r="D88" s="110"/>
      <c r="E88" s="111"/>
      <c r="F88" s="110"/>
      <c r="G88" s="111"/>
      <c r="H88" s="145"/>
      <c r="I88" s="145"/>
      <c r="J88" s="121"/>
      <c r="K88" s="121"/>
      <c r="L88" s="121"/>
      <c r="M88" s="121"/>
    </row>
    <row r="89" spans="1:13" ht="12.75">
      <c r="A89" s="141"/>
      <c r="B89" s="257"/>
      <c r="C89" s="84" t="s">
        <v>199</v>
      </c>
      <c r="D89" s="110"/>
      <c r="E89" s="111"/>
      <c r="F89" s="110"/>
      <c r="G89" s="111"/>
      <c r="H89" s="145"/>
      <c r="I89" s="145"/>
      <c r="J89" s="121"/>
      <c r="K89" s="121"/>
      <c r="L89" s="121"/>
      <c r="M89" s="121"/>
    </row>
    <row r="90" spans="1:13" ht="12.75">
      <c r="A90" s="141"/>
      <c r="B90" s="257"/>
      <c r="C90" s="84" t="s">
        <v>200</v>
      </c>
      <c r="D90" s="110"/>
      <c r="E90" s="111"/>
      <c r="F90" s="110"/>
      <c r="G90" s="111"/>
      <c r="H90" s="145"/>
      <c r="I90" s="145"/>
      <c r="J90" s="121"/>
      <c r="K90" s="121"/>
      <c r="L90" s="121"/>
      <c r="M90" s="121"/>
    </row>
    <row r="91" spans="1:13" ht="12.75">
      <c r="A91" s="142" t="s">
        <v>228</v>
      </c>
      <c r="B91" s="258"/>
      <c r="C91" s="83" t="s">
        <v>201</v>
      </c>
      <c r="D91" s="107"/>
      <c r="E91" s="108"/>
      <c r="F91" s="107"/>
      <c r="G91" s="108"/>
      <c r="H91" s="145"/>
      <c r="I91" s="145"/>
      <c r="J91" s="121"/>
      <c r="K91" s="121"/>
      <c r="L91" s="121"/>
      <c r="M91" s="121"/>
    </row>
    <row r="92" spans="1:13" ht="19.5" customHeight="1">
      <c r="A92" s="287" t="s">
        <v>203</v>
      </c>
      <c r="B92" s="290">
        <f>B64+B68+B72+B76+B80+B84+B88</f>
        <v>13095000</v>
      </c>
      <c r="C92" s="84" t="s">
        <v>198</v>
      </c>
      <c r="D92" s="110">
        <f aca="true" t="shared" si="4" ref="D92:E95">D64+D68+D72+D76+D80+D84</f>
        <v>250000</v>
      </c>
      <c r="E92" s="111">
        <f t="shared" si="4"/>
        <v>39690</v>
      </c>
      <c r="F92" s="110">
        <f>F80+F84</f>
        <v>250000</v>
      </c>
      <c r="G92" s="111">
        <f>G80+G84</f>
        <v>27285</v>
      </c>
      <c r="H92" s="145">
        <f aca="true" t="shared" si="5" ref="H92:I94">H84</f>
        <v>300000</v>
      </c>
      <c r="I92" s="145">
        <f t="shared" si="5"/>
        <v>12817</v>
      </c>
      <c r="J92" s="121"/>
      <c r="K92" s="121"/>
      <c r="L92" s="121"/>
      <c r="M92" s="121"/>
    </row>
    <row r="93" spans="1:13" ht="19.5" customHeight="1">
      <c r="A93" s="288"/>
      <c r="B93" s="291"/>
      <c r="C93" s="84" t="s">
        <v>199</v>
      </c>
      <c r="D93" s="110">
        <f t="shared" si="4"/>
        <v>250000</v>
      </c>
      <c r="E93" s="111">
        <f t="shared" si="4"/>
        <v>35554</v>
      </c>
      <c r="F93" s="110">
        <f>F81+F85</f>
        <v>250000</v>
      </c>
      <c r="G93" s="111">
        <f>G81+G85</f>
        <v>24186</v>
      </c>
      <c r="H93" s="145">
        <f t="shared" si="5"/>
        <v>300000</v>
      </c>
      <c r="I93" s="145">
        <f t="shared" si="5"/>
        <v>8681</v>
      </c>
      <c r="J93" s="121"/>
      <c r="K93" s="121"/>
      <c r="L93" s="121"/>
      <c r="M93" s="121"/>
    </row>
    <row r="94" spans="1:13" ht="18" customHeight="1">
      <c r="A94" s="288"/>
      <c r="B94" s="291"/>
      <c r="C94" s="84" t="s">
        <v>200</v>
      </c>
      <c r="D94" s="110">
        <f t="shared" si="4"/>
        <v>250000</v>
      </c>
      <c r="E94" s="111">
        <f t="shared" si="4"/>
        <v>32453</v>
      </c>
      <c r="F94" s="110">
        <v>500000</v>
      </c>
      <c r="G94" s="111">
        <f>G82+G86</f>
        <v>20051</v>
      </c>
      <c r="H94" s="145">
        <f t="shared" si="5"/>
        <v>150000</v>
      </c>
      <c r="I94" s="145">
        <f t="shared" si="5"/>
        <v>4961</v>
      </c>
      <c r="J94" s="121"/>
      <c r="K94" s="121"/>
      <c r="L94" s="121"/>
      <c r="M94" s="121"/>
    </row>
    <row r="95" spans="1:13" ht="21.75" customHeight="1">
      <c r="A95" s="288"/>
      <c r="B95" s="291"/>
      <c r="C95" s="84" t="s">
        <v>201</v>
      </c>
      <c r="D95" s="110">
        <f t="shared" si="4"/>
        <v>250000</v>
      </c>
      <c r="E95" s="111">
        <f t="shared" si="4"/>
        <v>29353</v>
      </c>
      <c r="F95" s="110">
        <f>F83+F87</f>
        <v>250000</v>
      </c>
      <c r="G95" s="111">
        <f>G83+G87</f>
        <v>16951</v>
      </c>
      <c r="H95" s="145">
        <v>200000</v>
      </c>
      <c r="I95" s="145">
        <f>827*2</f>
        <v>1654</v>
      </c>
      <c r="J95" s="121"/>
      <c r="K95" s="121"/>
      <c r="L95" s="121"/>
      <c r="M95" s="121"/>
    </row>
    <row r="96" spans="1:13" ht="27" customHeight="1">
      <c r="A96" s="289"/>
      <c r="B96" s="292"/>
      <c r="C96" s="149" t="s">
        <v>202</v>
      </c>
      <c r="D96" s="150">
        <f aca="true" t="shared" si="6" ref="D96:I96">D92+D93+D94+D95</f>
        <v>1000000</v>
      </c>
      <c r="E96" s="150">
        <f t="shared" si="6"/>
        <v>137050</v>
      </c>
      <c r="F96" s="150">
        <f t="shared" si="6"/>
        <v>1250000</v>
      </c>
      <c r="G96" s="150">
        <f t="shared" si="6"/>
        <v>88473</v>
      </c>
      <c r="H96" s="150">
        <f t="shared" si="6"/>
        <v>950000</v>
      </c>
      <c r="I96" s="150">
        <f t="shared" si="6"/>
        <v>28113</v>
      </c>
      <c r="J96" s="121"/>
      <c r="K96" s="121"/>
      <c r="L96" s="121"/>
      <c r="M96" s="121"/>
    </row>
    <row r="97" spans="1:13" ht="22.5" customHeight="1">
      <c r="A97" s="309" t="s">
        <v>231</v>
      </c>
      <c r="B97" s="310"/>
      <c r="C97" s="85" t="s">
        <v>198</v>
      </c>
      <c r="D97" s="260">
        <f>L41-D92</f>
        <v>2950000</v>
      </c>
      <c r="E97" s="261"/>
      <c r="F97" s="260">
        <f>D100-F92</f>
        <v>1950000</v>
      </c>
      <c r="G97" s="261"/>
      <c r="H97" s="299">
        <f>F100-H92</f>
        <v>650000</v>
      </c>
      <c r="I97" s="300"/>
      <c r="J97" s="121"/>
      <c r="K97" s="121"/>
      <c r="L97" s="121"/>
      <c r="M97" s="121"/>
    </row>
    <row r="98" spans="1:13" ht="20.25" customHeight="1">
      <c r="A98" s="311"/>
      <c r="B98" s="312"/>
      <c r="C98" s="85" t="s">
        <v>199</v>
      </c>
      <c r="D98" s="260">
        <f>D97-D93</f>
        <v>2700000</v>
      </c>
      <c r="E98" s="261"/>
      <c r="F98" s="260">
        <f>F97-F93</f>
        <v>1700000</v>
      </c>
      <c r="G98" s="261"/>
      <c r="H98" s="299">
        <f>H97-H93</f>
        <v>350000</v>
      </c>
      <c r="I98" s="300"/>
      <c r="J98" s="121"/>
      <c r="K98" s="121"/>
      <c r="L98" s="121"/>
      <c r="M98" s="121"/>
    </row>
    <row r="99" spans="1:13" ht="18" customHeight="1">
      <c r="A99" s="311"/>
      <c r="B99" s="312"/>
      <c r="C99" s="85" t="s">
        <v>200</v>
      </c>
      <c r="D99" s="260">
        <f>D98-D94</f>
        <v>2450000</v>
      </c>
      <c r="E99" s="261"/>
      <c r="F99" s="260">
        <f>F98-F94</f>
        <v>1200000</v>
      </c>
      <c r="G99" s="261"/>
      <c r="H99" s="299">
        <f>H98-H94</f>
        <v>200000</v>
      </c>
      <c r="I99" s="300"/>
      <c r="J99" s="121"/>
      <c r="K99" s="121"/>
      <c r="L99" s="121"/>
      <c r="M99" s="121"/>
    </row>
    <row r="100" spans="1:13" ht="18" customHeight="1">
      <c r="A100" s="313"/>
      <c r="B100" s="314"/>
      <c r="C100" s="85" t="s">
        <v>201</v>
      </c>
      <c r="D100" s="260">
        <f>D99-D95</f>
        <v>2200000</v>
      </c>
      <c r="E100" s="261"/>
      <c r="F100" s="260">
        <f>F99-F95</f>
        <v>950000</v>
      </c>
      <c r="G100" s="261"/>
      <c r="H100" s="299">
        <f>H99-H95</f>
        <v>0</v>
      </c>
      <c r="I100" s="300"/>
      <c r="J100" s="121"/>
      <c r="K100" s="121"/>
      <c r="L100" s="121"/>
      <c r="M100" s="121"/>
    </row>
    <row r="101" spans="1:13" ht="17.25" customHeight="1">
      <c r="A101" s="315" t="s">
        <v>233</v>
      </c>
      <c r="B101" s="315"/>
      <c r="C101" s="315"/>
      <c r="D101" s="316">
        <v>30000000</v>
      </c>
      <c r="E101" s="316"/>
      <c r="F101" s="316">
        <v>30000000</v>
      </c>
      <c r="G101" s="316"/>
      <c r="H101" s="316">
        <v>30000000</v>
      </c>
      <c r="I101" s="316"/>
      <c r="J101" s="316"/>
      <c r="K101" s="316"/>
      <c r="L101" s="315"/>
      <c r="M101" s="315"/>
    </row>
  </sheetData>
  <mergeCells count="90">
    <mergeCell ref="H42:I42"/>
    <mergeCell ref="J42:K42"/>
    <mergeCell ref="L42:M42"/>
    <mergeCell ref="A101:C101"/>
    <mergeCell ref="D101:E101"/>
    <mergeCell ref="F101:G101"/>
    <mergeCell ref="H101:I101"/>
    <mergeCell ref="J101:K101"/>
    <mergeCell ref="L101:M101"/>
    <mergeCell ref="J62:K62"/>
    <mergeCell ref="L62:M62"/>
    <mergeCell ref="C61:M61"/>
    <mergeCell ref="A60:M60"/>
    <mergeCell ref="D100:E100"/>
    <mergeCell ref="F100:G100"/>
    <mergeCell ref="H100:I100"/>
    <mergeCell ref="A97:B100"/>
    <mergeCell ref="D98:E98"/>
    <mergeCell ref="F98:G98"/>
    <mergeCell ref="H98:I98"/>
    <mergeCell ref="D99:E99"/>
    <mergeCell ref="F99:G99"/>
    <mergeCell ref="H99:I99"/>
    <mergeCell ref="H62:I62"/>
    <mergeCell ref="D97:E97"/>
    <mergeCell ref="F97:G97"/>
    <mergeCell ref="H97:I97"/>
    <mergeCell ref="C62:C63"/>
    <mergeCell ref="D62:E62"/>
    <mergeCell ref="F62:G62"/>
    <mergeCell ref="A42:C42"/>
    <mergeCell ref="D42:E42"/>
    <mergeCell ref="F42:G42"/>
    <mergeCell ref="A61:A63"/>
    <mergeCell ref="A77:A79"/>
    <mergeCell ref="A92:A96"/>
    <mergeCell ref="B64:B67"/>
    <mergeCell ref="B68:B71"/>
    <mergeCell ref="B72:B75"/>
    <mergeCell ref="B76:B79"/>
    <mergeCell ref="B80:B83"/>
    <mergeCell ref="B84:B87"/>
    <mergeCell ref="B88:B91"/>
    <mergeCell ref="B92:B96"/>
    <mergeCell ref="A65:A67"/>
    <mergeCell ref="A69:A71"/>
    <mergeCell ref="A73:A75"/>
    <mergeCell ref="C2:M2"/>
    <mergeCell ref="L38:M38"/>
    <mergeCell ref="L39:M39"/>
    <mergeCell ref="L40:M40"/>
    <mergeCell ref="L41:M41"/>
    <mergeCell ref="A10:A12"/>
    <mergeCell ref="A6:A8"/>
    <mergeCell ref="A33:A37"/>
    <mergeCell ref="B33:B37"/>
    <mergeCell ref="B5:B8"/>
    <mergeCell ref="B21:B24"/>
    <mergeCell ref="B25:B28"/>
    <mergeCell ref="B29:B32"/>
    <mergeCell ref="J40:K40"/>
    <mergeCell ref="J41:K41"/>
    <mergeCell ref="B9:B12"/>
    <mergeCell ref="B13:B16"/>
    <mergeCell ref="D40:E40"/>
    <mergeCell ref="D41:E41"/>
    <mergeCell ref="A38:B41"/>
    <mergeCell ref="A14:A16"/>
    <mergeCell ref="A18:A20"/>
    <mergeCell ref="B17:B20"/>
    <mergeCell ref="A1:K1"/>
    <mergeCell ref="A2:A4"/>
    <mergeCell ref="J3:K3"/>
    <mergeCell ref="C3:C4"/>
    <mergeCell ref="F3:G3"/>
    <mergeCell ref="H3:I3"/>
    <mergeCell ref="D3:E3"/>
    <mergeCell ref="H40:I40"/>
    <mergeCell ref="H41:I41"/>
    <mergeCell ref="F38:G38"/>
    <mergeCell ref="F39:G39"/>
    <mergeCell ref="F40:G40"/>
    <mergeCell ref="F41:G41"/>
    <mergeCell ref="L3:M3"/>
    <mergeCell ref="H38:I38"/>
    <mergeCell ref="H39:I39"/>
    <mergeCell ref="D38:E38"/>
    <mergeCell ref="D39:E39"/>
    <mergeCell ref="J38:K38"/>
    <mergeCell ref="J39:K39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6">
      <selection activeCell="C2" sqref="C2:J2"/>
    </sheetView>
  </sheetViews>
  <sheetFormatPr defaultColWidth="9.00390625" defaultRowHeight="12.75"/>
  <cols>
    <col min="2" max="2" width="23.00390625" style="0" customWidth="1"/>
    <col min="3" max="3" width="12.125" style="0" customWidth="1"/>
    <col min="4" max="4" width="10.625" style="0" customWidth="1"/>
    <col min="5" max="5" width="11.375" style="0" customWidth="1"/>
    <col min="6" max="6" width="10.50390625" style="0" customWidth="1"/>
    <col min="7" max="7" width="11.875" style="0" customWidth="1"/>
    <col min="8" max="8" width="10.50390625" style="0" customWidth="1"/>
    <col min="9" max="9" width="11.875" style="0" customWidth="1"/>
    <col min="10" max="10" width="13.00390625" style="0" customWidth="1"/>
  </cols>
  <sheetData>
    <row r="1" spans="1:10" ht="21.75" customHeight="1">
      <c r="A1" s="319" t="s">
        <v>371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1" ht="18" customHeight="1">
      <c r="A2" s="317" t="s">
        <v>135</v>
      </c>
      <c r="B2" s="317"/>
      <c r="C2" s="242">
        <v>2007</v>
      </c>
      <c r="D2" s="242">
        <v>2008</v>
      </c>
      <c r="E2" s="242">
        <v>2009</v>
      </c>
      <c r="F2" s="242">
        <v>2010</v>
      </c>
      <c r="G2" s="242">
        <v>2011</v>
      </c>
      <c r="H2" s="242">
        <v>2012</v>
      </c>
      <c r="I2" s="242">
        <v>2013</v>
      </c>
      <c r="J2" s="242">
        <v>2014</v>
      </c>
      <c r="K2" s="240"/>
    </row>
    <row r="3" spans="1:10" ht="19.5" customHeight="1">
      <c r="A3" s="318" t="s">
        <v>372</v>
      </c>
      <c r="B3" s="318"/>
      <c r="C3" s="243">
        <v>30000000</v>
      </c>
      <c r="D3" s="243">
        <v>30300000</v>
      </c>
      <c r="E3" s="243">
        <v>30500000</v>
      </c>
      <c r="F3" s="243">
        <v>30500000</v>
      </c>
      <c r="G3" s="243">
        <v>30200000</v>
      </c>
      <c r="H3" s="243">
        <v>30500000</v>
      </c>
      <c r="I3" s="243">
        <v>30500000</v>
      </c>
      <c r="J3" s="243">
        <v>30500000</v>
      </c>
    </row>
    <row r="4" spans="1:10" ht="15.75" customHeight="1">
      <c r="A4" s="320" t="s">
        <v>373</v>
      </c>
      <c r="B4" s="320"/>
      <c r="C4" s="244">
        <v>8500000</v>
      </c>
      <c r="D4" s="244">
        <v>8500000</v>
      </c>
      <c r="E4" s="244">
        <v>8700000</v>
      </c>
      <c r="F4" s="244">
        <v>8700000</v>
      </c>
      <c r="G4" s="244">
        <v>8700000</v>
      </c>
      <c r="H4" s="244">
        <v>8700000</v>
      </c>
      <c r="I4" s="244">
        <v>8700000</v>
      </c>
      <c r="J4" s="244">
        <v>8700000</v>
      </c>
    </row>
    <row r="5" spans="1:10" ht="15.75" customHeight="1">
      <c r="A5" s="320" t="s">
        <v>374</v>
      </c>
      <c r="B5" s="320"/>
      <c r="C5" s="244">
        <v>1000000</v>
      </c>
      <c r="D5" s="244">
        <v>1300000</v>
      </c>
      <c r="E5" s="244">
        <v>1300000</v>
      </c>
      <c r="F5" s="244">
        <v>1300000</v>
      </c>
      <c r="G5" s="244">
        <v>1000000</v>
      </c>
      <c r="H5" s="244">
        <v>1100000</v>
      </c>
      <c r="I5" s="244">
        <v>1100000</v>
      </c>
      <c r="J5" s="244">
        <v>1100000</v>
      </c>
    </row>
    <row r="6" spans="1:10" ht="15" customHeight="1">
      <c r="A6" s="320" t="s">
        <v>375</v>
      </c>
      <c r="B6" s="320"/>
      <c r="C6" s="244">
        <v>6500000</v>
      </c>
      <c r="D6" s="244">
        <v>6500000</v>
      </c>
      <c r="E6" s="244">
        <v>6500000</v>
      </c>
      <c r="F6" s="244">
        <v>6500000</v>
      </c>
      <c r="G6" s="244">
        <v>6500000</v>
      </c>
      <c r="H6" s="244">
        <v>6700000</v>
      </c>
      <c r="I6" s="244">
        <v>6700000</v>
      </c>
      <c r="J6" s="244">
        <v>6700000</v>
      </c>
    </row>
    <row r="7" spans="1:10" ht="13.5" customHeight="1">
      <c r="A7" s="320" t="s">
        <v>376</v>
      </c>
      <c r="B7" s="320"/>
      <c r="C7" s="244">
        <v>7800000</v>
      </c>
      <c r="D7" s="244">
        <v>7800000</v>
      </c>
      <c r="E7" s="244">
        <v>7800000</v>
      </c>
      <c r="F7" s="244">
        <v>7800000</v>
      </c>
      <c r="G7" s="244">
        <v>7800000</v>
      </c>
      <c r="H7" s="244">
        <v>7800000</v>
      </c>
      <c r="I7" s="244">
        <v>7800000</v>
      </c>
      <c r="J7" s="244">
        <v>7800000</v>
      </c>
    </row>
    <row r="8" spans="1:10" ht="15" customHeight="1">
      <c r="A8" s="320" t="s">
        <v>377</v>
      </c>
      <c r="B8" s="320"/>
      <c r="C8" s="244">
        <v>4800000</v>
      </c>
      <c r="D8" s="244">
        <v>4800000</v>
      </c>
      <c r="E8" s="244">
        <v>4800000</v>
      </c>
      <c r="F8" s="244">
        <v>4800000</v>
      </c>
      <c r="G8" s="244">
        <v>4800000</v>
      </c>
      <c r="H8" s="244">
        <v>4800000</v>
      </c>
      <c r="I8" s="244">
        <v>4800000</v>
      </c>
      <c r="J8" s="244">
        <v>4800000</v>
      </c>
    </row>
    <row r="9" spans="1:10" ht="18.75" customHeight="1">
      <c r="A9" s="320" t="s">
        <v>378</v>
      </c>
      <c r="B9" s="320"/>
      <c r="C9" s="244">
        <v>1400000</v>
      </c>
      <c r="D9" s="244">
        <v>1400000</v>
      </c>
      <c r="E9" s="244">
        <v>1400000</v>
      </c>
      <c r="F9" s="244">
        <v>1400000</v>
      </c>
      <c r="G9" s="244">
        <v>1400000</v>
      </c>
      <c r="H9" s="244">
        <v>1400000</v>
      </c>
      <c r="I9" s="244">
        <v>1400000</v>
      </c>
      <c r="J9" s="244">
        <v>1400000</v>
      </c>
    </row>
    <row r="10" spans="1:10" ht="19.5" customHeight="1">
      <c r="A10" s="321" t="s">
        <v>379</v>
      </c>
      <c r="B10" s="321"/>
      <c r="C10" s="243">
        <v>27625000</v>
      </c>
      <c r="D10" s="243">
        <v>27820000</v>
      </c>
      <c r="E10" s="243">
        <v>28460000</v>
      </c>
      <c r="F10" s="243">
        <v>28500000</v>
      </c>
      <c r="G10" s="243">
        <v>29200000</v>
      </c>
      <c r="H10" s="243">
        <v>29500000</v>
      </c>
      <c r="I10" s="243">
        <v>30000000</v>
      </c>
      <c r="J10" s="243">
        <v>29550000</v>
      </c>
    </row>
    <row r="11" spans="1:10" ht="20.25" customHeight="1">
      <c r="A11" s="320" t="s">
        <v>380</v>
      </c>
      <c r="B11" s="320"/>
      <c r="C11" s="244">
        <v>27125000</v>
      </c>
      <c r="D11" s="244">
        <v>27320000</v>
      </c>
      <c r="E11" s="244">
        <v>27560000</v>
      </c>
      <c r="F11" s="244">
        <v>27860000</v>
      </c>
      <c r="G11" s="244">
        <v>28000000</v>
      </c>
      <c r="H11" s="244">
        <v>28500000</v>
      </c>
      <c r="I11" s="244">
        <v>29250000</v>
      </c>
      <c r="J11" s="244">
        <v>29550000</v>
      </c>
    </row>
    <row r="12" spans="1:10" ht="28.5" customHeight="1">
      <c r="A12" s="320" t="s">
        <v>381</v>
      </c>
      <c r="B12" s="320"/>
      <c r="C12" s="244">
        <v>15346000</v>
      </c>
      <c r="D12" s="244">
        <v>15000000</v>
      </c>
      <c r="E12" s="244">
        <v>15000000</v>
      </c>
      <c r="F12" s="244">
        <v>15000000</v>
      </c>
      <c r="G12" s="244">
        <v>15000000</v>
      </c>
      <c r="H12" s="244">
        <v>15000000</v>
      </c>
      <c r="I12" s="244">
        <v>15000000</v>
      </c>
      <c r="J12" s="244">
        <v>15000000</v>
      </c>
    </row>
    <row r="13" spans="1:10" ht="16.5" customHeight="1">
      <c r="A13" s="320" t="s">
        <v>382</v>
      </c>
      <c r="B13" s="320"/>
      <c r="C13" s="244">
        <v>1900000</v>
      </c>
      <c r="D13" s="244">
        <v>1900000</v>
      </c>
      <c r="E13" s="244">
        <v>1900000</v>
      </c>
      <c r="F13" s="244">
        <v>1900000</v>
      </c>
      <c r="G13" s="244">
        <v>1900000</v>
      </c>
      <c r="H13" s="244">
        <v>1900000</v>
      </c>
      <c r="I13" s="244">
        <v>1900000</v>
      </c>
      <c r="J13" s="244">
        <v>1900000</v>
      </c>
    </row>
    <row r="14" spans="1:10" ht="16.5" customHeight="1">
      <c r="A14" s="320" t="s">
        <v>383</v>
      </c>
      <c r="B14" s="320"/>
      <c r="C14" s="244">
        <v>661216</v>
      </c>
      <c r="D14" s="244">
        <v>511592</v>
      </c>
      <c r="E14" s="244">
        <v>364591</v>
      </c>
      <c r="F14" s="244">
        <v>274529</v>
      </c>
      <c r="G14" s="244">
        <v>185628</v>
      </c>
      <c r="H14" s="244">
        <v>137050</v>
      </c>
      <c r="I14" s="244">
        <v>88473</v>
      </c>
      <c r="J14" s="244">
        <v>28113</v>
      </c>
    </row>
    <row r="15" spans="1:10" ht="17.25" customHeight="1">
      <c r="A15" s="320" t="s">
        <v>384</v>
      </c>
      <c r="B15" s="320"/>
      <c r="C15" s="244">
        <v>500000</v>
      </c>
      <c r="D15" s="244">
        <v>500000</v>
      </c>
      <c r="E15" s="244">
        <v>900000</v>
      </c>
      <c r="F15" s="244">
        <v>640000</v>
      </c>
      <c r="G15" s="244">
        <v>1200000</v>
      </c>
      <c r="H15" s="244">
        <v>1000000</v>
      </c>
      <c r="I15" s="244">
        <v>750000</v>
      </c>
      <c r="J15" s="245" t="s">
        <v>385</v>
      </c>
    </row>
    <row r="16" spans="1:10" ht="18" customHeight="1">
      <c r="A16" s="321" t="s">
        <v>386</v>
      </c>
      <c r="B16" s="321"/>
      <c r="C16" s="243">
        <v>2375000</v>
      </c>
      <c r="D16" s="243">
        <v>2480000</v>
      </c>
      <c r="E16" s="243">
        <v>2040000</v>
      </c>
      <c r="F16" s="243">
        <v>2000000</v>
      </c>
      <c r="G16" s="243">
        <v>1000000</v>
      </c>
      <c r="H16" s="243">
        <v>1000000</v>
      </c>
      <c r="I16" s="243">
        <v>1250000</v>
      </c>
      <c r="J16" s="243">
        <v>950000</v>
      </c>
    </row>
    <row r="17" spans="1:10" ht="18" customHeight="1">
      <c r="A17" s="321" t="s">
        <v>387</v>
      </c>
      <c r="B17" s="321"/>
      <c r="C17" s="243">
        <v>2375000</v>
      </c>
      <c r="D17" s="243">
        <v>2480000</v>
      </c>
      <c r="E17" s="243">
        <v>2040000</v>
      </c>
      <c r="F17" s="243">
        <v>2000000</v>
      </c>
      <c r="G17" s="243">
        <v>1000000</v>
      </c>
      <c r="H17" s="243">
        <v>1000000</v>
      </c>
      <c r="I17" s="243">
        <v>1250000</v>
      </c>
      <c r="J17" s="243">
        <v>950000</v>
      </c>
    </row>
    <row r="18" spans="1:10" ht="18" customHeight="1">
      <c r="A18" s="320" t="s">
        <v>388</v>
      </c>
      <c r="B18" s="320"/>
      <c r="C18" s="244">
        <v>2375000</v>
      </c>
      <c r="D18" s="244">
        <v>2480000</v>
      </c>
      <c r="E18" s="244">
        <v>2040000</v>
      </c>
      <c r="F18" s="244">
        <v>2000000</v>
      </c>
      <c r="G18" s="244">
        <v>1000000</v>
      </c>
      <c r="H18" s="244">
        <v>1000000</v>
      </c>
      <c r="I18" s="244">
        <v>1250000</v>
      </c>
      <c r="J18" s="244">
        <v>950000</v>
      </c>
    </row>
    <row r="19" spans="1:10" ht="18" customHeight="1">
      <c r="A19" s="321" t="s">
        <v>389</v>
      </c>
      <c r="B19" s="321"/>
      <c r="C19" s="243">
        <v>10720000</v>
      </c>
      <c r="D19" s="243">
        <v>8240000</v>
      </c>
      <c r="E19" s="243">
        <v>6200000</v>
      </c>
      <c r="F19" s="243">
        <v>4200000</v>
      </c>
      <c r="G19" s="243">
        <v>3200000</v>
      </c>
      <c r="H19" s="243">
        <v>2200000</v>
      </c>
      <c r="I19" s="243">
        <v>950000</v>
      </c>
      <c r="J19" s="246" t="s">
        <v>385</v>
      </c>
    </row>
    <row r="20" spans="1:10" ht="33" customHeight="1">
      <c r="A20" s="321" t="s">
        <v>390</v>
      </c>
      <c r="B20" s="321"/>
      <c r="C20" s="247">
        <v>10.12</v>
      </c>
      <c r="D20" s="247">
        <v>9.87</v>
      </c>
      <c r="E20" s="247">
        <v>7.88</v>
      </c>
      <c r="F20" s="247">
        <v>7.46</v>
      </c>
      <c r="G20" s="247">
        <v>3.93</v>
      </c>
      <c r="H20" s="247">
        <v>3.73</v>
      </c>
      <c r="I20" s="247">
        <v>4.39</v>
      </c>
      <c r="J20" s="247">
        <v>3.21</v>
      </c>
    </row>
    <row r="21" spans="1:10" ht="30.75" customHeight="1">
      <c r="A21" s="321" t="s">
        <v>392</v>
      </c>
      <c r="B21" s="321"/>
      <c r="C21" s="247">
        <v>35.73</v>
      </c>
      <c r="D21" s="247">
        <v>27.19</v>
      </c>
      <c r="E21" s="247">
        <v>20.33</v>
      </c>
      <c r="F21" s="247">
        <v>13.77</v>
      </c>
      <c r="G21" s="247">
        <v>10.6</v>
      </c>
      <c r="H21" s="247">
        <v>7.21</v>
      </c>
      <c r="I21" s="247">
        <v>3.11</v>
      </c>
      <c r="J21" s="247" t="s">
        <v>391</v>
      </c>
    </row>
    <row r="22" spans="1:2" ht="12.75">
      <c r="A22" s="241"/>
      <c r="B22" s="241"/>
    </row>
    <row r="23" spans="1:2" ht="12.75">
      <c r="A23" s="241"/>
      <c r="B23" s="241"/>
    </row>
    <row r="24" spans="1:2" ht="12.75">
      <c r="A24" s="2"/>
      <c r="B24" s="2"/>
    </row>
    <row r="25" spans="1:2" ht="12.75">
      <c r="A25" s="2"/>
      <c r="B25" s="2"/>
    </row>
    <row r="26" spans="1:2" ht="12.75">
      <c r="A26" s="2"/>
      <c r="B26" s="2"/>
    </row>
    <row r="27" spans="1:2" ht="12.75">
      <c r="A27" s="2"/>
      <c r="B27" s="2"/>
    </row>
  </sheetData>
  <mergeCells count="21">
    <mergeCell ref="A9:B9"/>
    <mergeCell ref="A10:B10"/>
    <mergeCell ref="A11:B11"/>
    <mergeCell ref="A12:B12"/>
    <mergeCell ref="A19:B19"/>
    <mergeCell ref="A20:B20"/>
    <mergeCell ref="A21:B21"/>
    <mergeCell ref="A14:B14"/>
    <mergeCell ref="A15:B15"/>
    <mergeCell ref="A16:B16"/>
    <mergeCell ref="A17:B17"/>
    <mergeCell ref="A2:B2"/>
    <mergeCell ref="A3:B3"/>
    <mergeCell ref="A1:J1"/>
    <mergeCell ref="A18:B18"/>
    <mergeCell ref="A8:B8"/>
    <mergeCell ref="A13:B13"/>
    <mergeCell ref="A4:B4"/>
    <mergeCell ref="A5:B5"/>
    <mergeCell ref="A6:B6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1"/>
  <sheetViews>
    <sheetView tabSelected="1" workbookViewId="0" topLeftCell="A1">
      <pane xSplit="11592" topLeftCell="G1" activePane="topLeft" state="split"/>
      <selection pane="topLeft" activeCell="A2" sqref="A2:H2"/>
      <selection pane="topRight" activeCell="G33" sqref="G33"/>
    </sheetView>
  </sheetViews>
  <sheetFormatPr defaultColWidth="9.00390625" defaultRowHeight="12.75"/>
  <cols>
    <col min="1" max="1" width="4.375" style="0" customWidth="1"/>
    <col min="2" max="2" width="36.50390625" style="0" customWidth="1"/>
    <col min="3" max="3" width="17.125" style="0" customWidth="1"/>
    <col min="4" max="4" width="13.125" style="0" customWidth="1"/>
    <col min="5" max="5" width="10.375" style="0" customWidth="1"/>
    <col min="6" max="6" width="13.875" style="0" customWidth="1"/>
    <col min="7" max="8" width="14.875" style="0" customWidth="1"/>
  </cols>
  <sheetData>
    <row r="1" spans="1:8" ht="16.5" customHeight="1">
      <c r="A1" s="341" t="s">
        <v>369</v>
      </c>
      <c r="B1" s="341"/>
      <c r="C1" s="341"/>
      <c r="D1" s="341"/>
      <c r="E1" s="341"/>
      <c r="F1" s="341"/>
      <c r="G1" s="341"/>
      <c r="H1" s="341"/>
    </row>
    <row r="2" spans="1:8" ht="18" customHeight="1">
      <c r="A2" s="341" t="s">
        <v>393</v>
      </c>
      <c r="B2" s="341"/>
      <c r="C2" s="341"/>
      <c r="D2" s="341"/>
      <c r="E2" s="341"/>
      <c r="F2" s="341"/>
      <c r="G2" s="341"/>
      <c r="H2" s="341"/>
    </row>
    <row r="3" spans="1:8" ht="36.75" customHeight="1">
      <c r="A3" s="319" t="s">
        <v>234</v>
      </c>
      <c r="B3" s="319"/>
      <c r="C3" s="319"/>
      <c r="D3" s="319"/>
      <c r="E3" s="319"/>
      <c r="F3" s="319"/>
      <c r="G3" s="319"/>
      <c r="H3" s="319"/>
    </row>
    <row r="4" spans="1:8" ht="35.25" customHeight="1">
      <c r="A4" s="45" t="s">
        <v>109</v>
      </c>
      <c r="B4" s="45" t="s">
        <v>110</v>
      </c>
      <c r="C4" s="46" t="s">
        <v>120</v>
      </c>
      <c r="D4" s="342" t="s">
        <v>205</v>
      </c>
      <c r="E4" s="343" t="s">
        <v>230</v>
      </c>
      <c r="F4" s="344"/>
      <c r="G4" s="344"/>
      <c r="H4" s="342" t="s">
        <v>229</v>
      </c>
    </row>
    <row r="5" spans="1:8" ht="27" customHeight="1">
      <c r="A5" s="47"/>
      <c r="B5" s="47" t="s">
        <v>111</v>
      </c>
      <c r="C5" s="46" t="s">
        <v>12</v>
      </c>
      <c r="D5" s="342"/>
      <c r="E5" s="46" t="s">
        <v>197</v>
      </c>
      <c r="F5" s="46" t="s">
        <v>112</v>
      </c>
      <c r="G5" s="46" t="s">
        <v>113</v>
      </c>
      <c r="H5" s="342"/>
    </row>
    <row r="6" spans="1:8" ht="12.75">
      <c r="A6" s="325">
        <v>1</v>
      </c>
      <c r="B6" s="49" t="s">
        <v>117</v>
      </c>
      <c r="C6" s="325">
        <v>2002</v>
      </c>
      <c r="D6" s="340">
        <v>75442</v>
      </c>
      <c r="E6" s="79" t="s">
        <v>198</v>
      </c>
      <c r="F6" s="88">
        <v>75442</v>
      </c>
      <c r="G6" s="94">
        <v>500</v>
      </c>
      <c r="H6" s="89">
        <f>D6-F6</f>
        <v>0</v>
      </c>
    </row>
    <row r="7" spans="1:8" ht="12.75">
      <c r="A7" s="326"/>
      <c r="B7" s="50" t="s">
        <v>118</v>
      </c>
      <c r="C7" s="326"/>
      <c r="D7" s="340"/>
      <c r="E7" s="80"/>
      <c r="F7" s="90"/>
      <c r="G7" s="97"/>
      <c r="H7" s="91"/>
    </row>
    <row r="8" spans="1:8" ht="12.75">
      <c r="A8" s="326"/>
      <c r="B8" s="50" t="s">
        <v>119</v>
      </c>
      <c r="C8" s="337">
        <v>1672942</v>
      </c>
      <c r="D8" s="340"/>
      <c r="E8" s="80"/>
      <c r="F8" s="90"/>
      <c r="G8" s="97"/>
      <c r="H8" s="91"/>
    </row>
    <row r="9" spans="1:8" ht="12.75">
      <c r="A9" s="327"/>
      <c r="B9" s="44" t="s">
        <v>114</v>
      </c>
      <c r="C9" s="338"/>
      <c r="D9" s="340"/>
      <c r="E9" s="67"/>
      <c r="F9" s="92"/>
      <c r="G9" s="98"/>
      <c r="H9" s="93"/>
    </row>
    <row r="10" spans="1:8" ht="17.25" customHeight="1">
      <c r="A10" s="325">
        <v>2</v>
      </c>
      <c r="B10" s="49" t="s">
        <v>121</v>
      </c>
      <c r="C10" s="65">
        <v>2003</v>
      </c>
      <c r="D10" s="345">
        <v>150000</v>
      </c>
      <c r="E10" s="79" t="s">
        <v>198</v>
      </c>
      <c r="F10" s="88">
        <v>37500</v>
      </c>
      <c r="G10" s="91">
        <v>1250</v>
      </c>
      <c r="H10" s="91">
        <f>D10-F10</f>
        <v>112500</v>
      </c>
    </row>
    <row r="11" spans="1:8" ht="17.25" customHeight="1">
      <c r="A11" s="326"/>
      <c r="B11" s="328" t="s">
        <v>116</v>
      </c>
      <c r="C11" s="337">
        <v>350000</v>
      </c>
      <c r="D11" s="346"/>
      <c r="E11" s="80" t="s">
        <v>199</v>
      </c>
      <c r="F11" s="90">
        <v>37500</v>
      </c>
      <c r="G11" s="91">
        <v>938</v>
      </c>
      <c r="H11" s="91">
        <f>H10-F11</f>
        <v>75000</v>
      </c>
    </row>
    <row r="12" spans="1:8" ht="17.25" customHeight="1">
      <c r="A12" s="326"/>
      <c r="B12" s="328"/>
      <c r="C12" s="337"/>
      <c r="D12" s="346"/>
      <c r="E12" s="80" t="s">
        <v>200</v>
      </c>
      <c r="F12" s="90">
        <v>37500</v>
      </c>
      <c r="G12" s="91">
        <v>625</v>
      </c>
      <c r="H12" s="91">
        <f>H11-F12</f>
        <v>37500</v>
      </c>
    </row>
    <row r="13" spans="1:8" ht="16.5" customHeight="1">
      <c r="A13" s="327"/>
      <c r="B13" s="329"/>
      <c r="C13" s="338"/>
      <c r="D13" s="347"/>
      <c r="E13" s="67" t="s">
        <v>201</v>
      </c>
      <c r="F13" s="92">
        <v>37500</v>
      </c>
      <c r="G13" s="91">
        <v>387</v>
      </c>
      <c r="H13" s="91">
        <f>H12-F13</f>
        <v>0</v>
      </c>
    </row>
    <row r="14" spans="1:8" ht="15.75" customHeight="1">
      <c r="A14" s="325">
        <v>3</v>
      </c>
      <c r="B14" s="49" t="s">
        <v>103</v>
      </c>
      <c r="C14" s="66">
        <v>2003</v>
      </c>
      <c r="D14" s="340">
        <v>28000</v>
      </c>
      <c r="E14" s="79" t="s">
        <v>198</v>
      </c>
      <c r="F14" s="88"/>
      <c r="G14" s="94">
        <v>200</v>
      </c>
      <c r="H14" s="89">
        <f>D14</f>
        <v>28000</v>
      </c>
    </row>
    <row r="15" spans="1:8" ht="15.75" customHeight="1">
      <c r="A15" s="326"/>
      <c r="B15" s="328" t="s">
        <v>116</v>
      </c>
      <c r="C15" s="337">
        <v>82000</v>
      </c>
      <c r="D15" s="340"/>
      <c r="E15" s="80" t="s">
        <v>199</v>
      </c>
      <c r="F15" s="90"/>
      <c r="G15" s="97">
        <v>200</v>
      </c>
      <c r="H15" s="91">
        <f>H14</f>
        <v>28000</v>
      </c>
    </row>
    <row r="16" spans="1:8" ht="15.75" customHeight="1">
      <c r="A16" s="326"/>
      <c r="B16" s="328"/>
      <c r="C16" s="337"/>
      <c r="D16" s="340"/>
      <c r="E16" s="80" t="s">
        <v>200</v>
      </c>
      <c r="F16" s="90">
        <v>28000</v>
      </c>
      <c r="G16" s="97">
        <v>200</v>
      </c>
      <c r="H16" s="91">
        <f>H15-F16</f>
        <v>0</v>
      </c>
    </row>
    <row r="17" spans="1:8" ht="18.75" customHeight="1">
      <c r="A17" s="327"/>
      <c r="B17" s="329"/>
      <c r="C17" s="338"/>
      <c r="D17" s="340"/>
      <c r="E17" s="67" t="s">
        <v>201</v>
      </c>
      <c r="F17" s="92"/>
      <c r="G17" s="98"/>
      <c r="H17" s="93">
        <f>H16</f>
        <v>0</v>
      </c>
    </row>
    <row r="18" spans="1:8" ht="15.75" customHeight="1">
      <c r="A18" s="325">
        <v>4</v>
      </c>
      <c r="B18" s="49" t="s">
        <v>122</v>
      </c>
      <c r="C18" s="68">
        <v>2003</v>
      </c>
      <c r="D18" s="340">
        <v>28000</v>
      </c>
      <c r="E18" s="79" t="s">
        <v>198</v>
      </c>
      <c r="F18" s="88"/>
      <c r="G18" s="91">
        <v>200</v>
      </c>
      <c r="H18" s="91">
        <f>D18</f>
        <v>28000</v>
      </c>
    </row>
    <row r="19" spans="1:8" ht="15.75" customHeight="1">
      <c r="A19" s="326"/>
      <c r="B19" s="328" t="s">
        <v>116</v>
      </c>
      <c r="C19" s="81"/>
      <c r="D19" s="340"/>
      <c r="E19" s="80" t="s">
        <v>199</v>
      </c>
      <c r="F19" s="90"/>
      <c r="G19" s="91">
        <v>200</v>
      </c>
      <c r="H19" s="91">
        <f>H18</f>
        <v>28000</v>
      </c>
    </row>
    <row r="20" spans="1:8" ht="15.75" customHeight="1">
      <c r="A20" s="326"/>
      <c r="B20" s="328"/>
      <c r="C20" s="81"/>
      <c r="D20" s="340"/>
      <c r="E20" s="80" t="s">
        <v>200</v>
      </c>
      <c r="F20" s="90">
        <v>28000</v>
      </c>
      <c r="G20" s="91">
        <v>200</v>
      </c>
      <c r="H20" s="91">
        <f>H19-F20</f>
        <v>0</v>
      </c>
    </row>
    <row r="21" spans="1:10" ht="17.25" customHeight="1">
      <c r="A21" s="327"/>
      <c r="B21" s="329"/>
      <c r="C21" s="67">
        <v>84000</v>
      </c>
      <c r="D21" s="340"/>
      <c r="E21" s="67" t="s">
        <v>201</v>
      </c>
      <c r="F21" s="92"/>
      <c r="G21" s="93"/>
      <c r="H21" s="93">
        <f>H20</f>
        <v>0</v>
      </c>
      <c r="J21" s="1"/>
    </row>
    <row r="22" spans="1:8" ht="16.5" customHeight="1">
      <c r="A22" s="325">
        <v>5</v>
      </c>
      <c r="B22" s="49" t="s">
        <v>123</v>
      </c>
      <c r="C22" s="57" t="s">
        <v>133</v>
      </c>
      <c r="D22" s="340">
        <v>5240000</v>
      </c>
      <c r="E22" s="79" t="s">
        <v>198</v>
      </c>
      <c r="F22" s="88">
        <v>249000</v>
      </c>
      <c r="G22" s="94">
        <v>91968</v>
      </c>
      <c r="H22" s="89">
        <f>D22-F22</f>
        <v>4991000</v>
      </c>
    </row>
    <row r="23" spans="1:8" ht="16.5" customHeight="1">
      <c r="A23" s="326"/>
      <c r="B23" s="328" t="s">
        <v>124</v>
      </c>
      <c r="C23" s="337">
        <v>5690000</v>
      </c>
      <c r="D23" s="340"/>
      <c r="E23" s="80" t="s">
        <v>199</v>
      </c>
      <c r="F23" s="90">
        <v>249000</v>
      </c>
      <c r="G23" s="97">
        <v>86973</v>
      </c>
      <c r="H23" s="91">
        <f>H22-F23</f>
        <v>4742000</v>
      </c>
    </row>
    <row r="24" spans="1:8" ht="16.5" customHeight="1">
      <c r="A24" s="326"/>
      <c r="B24" s="328"/>
      <c r="C24" s="337"/>
      <c r="D24" s="340"/>
      <c r="E24" s="80" t="s">
        <v>200</v>
      </c>
      <c r="F24" s="90">
        <v>249000</v>
      </c>
      <c r="G24" s="97">
        <v>83964</v>
      </c>
      <c r="H24" s="91">
        <f>H23-F24</f>
        <v>4493000</v>
      </c>
    </row>
    <row r="25" spans="1:8" ht="27.75" customHeight="1">
      <c r="A25" s="327"/>
      <c r="B25" s="329"/>
      <c r="C25" s="338"/>
      <c r="D25" s="340"/>
      <c r="E25" s="67" t="s">
        <v>201</v>
      </c>
      <c r="F25" s="92">
        <v>253000</v>
      </c>
      <c r="G25" s="98">
        <v>79508</v>
      </c>
      <c r="H25" s="93">
        <f>H24-F25</f>
        <v>4240000</v>
      </c>
    </row>
    <row r="26" spans="1:8" ht="12.75" customHeight="1">
      <c r="A26" s="325">
        <v>6</v>
      </c>
      <c r="B26" s="49" t="s">
        <v>121</v>
      </c>
      <c r="C26" s="69">
        <v>2004</v>
      </c>
      <c r="D26" s="345">
        <v>300000</v>
      </c>
      <c r="E26" s="79" t="s">
        <v>198</v>
      </c>
      <c r="F26" s="88">
        <v>37500</v>
      </c>
      <c r="G26" s="91">
        <v>2219</v>
      </c>
      <c r="H26" s="91">
        <f>D26-F26</f>
        <v>262500</v>
      </c>
    </row>
    <row r="27" spans="1:8" ht="18" customHeight="1">
      <c r="A27" s="326"/>
      <c r="B27" s="328" t="s">
        <v>116</v>
      </c>
      <c r="C27" s="336">
        <v>350000</v>
      </c>
      <c r="D27" s="346"/>
      <c r="E27" s="80" t="s">
        <v>199</v>
      </c>
      <c r="F27" s="90">
        <v>37500</v>
      </c>
      <c r="G27" s="91">
        <v>1942</v>
      </c>
      <c r="H27" s="91">
        <f>H26-F27</f>
        <v>225000</v>
      </c>
    </row>
    <row r="28" spans="1:8" ht="12.75" customHeight="1">
      <c r="A28" s="326"/>
      <c r="B28" s="328"/>
      <c r="C28" s="337"/>
      <c r="D28" s="346"/>
      <c r="E28" s="80" t="s">
        <v>200</v>
      </c>
      <c r="F28" s="90">
        <v>37500</v>
      </c>
      <c r="G28" s="91">
        <v>1664</v>
      </c>
      <c r="H28" s="91">
        <f>H27-F28</f>
        <v>187500</v>
      </c>
    </row>
    <row r="29" spans="1:8" ht="19.5" customHeight="1">
      <c r="A29" s="327"/>
      <c r="B29" s="329"/>
      <c r="C29" s="338"/>
      <c r="D29" s="347"/>
      <c r="E29" s="67" t="s">
        <v>201</v>
      </c>
      <c r="F29" s="92">
        <v>37500</v>
      </c>
      <c r="G29" s="93">
        <v>1418</v>
      </c>
      <c r="H29" s="93">
        <f>H28-F29</f>
        <v>150000</v>
      </c>
    </row>
    <row r="30" spans="1:8" ht="12.75">
      <c r="A30" s="325">
        <v>7</v>
      </c>
      <c r="B30" s="49" t="s">
        <v>121</v>
      </c>
      <c r="C30" s="64">
        <v>2005</v>
      </c>
      <c r="D30" s="333">
        <v>350000</v>
      </c>
      <c r="E30" s="79" t="s">
        <v>198</v>
      </c>
      <c r="F30" s="88">
        <v>30000</v>
      </c>
      <c r="G30" s="89">
        <v>2500</v>
      </c>
      <c r="H30" s="89">
        <f>D30-F30</f>
        <v>320000</v>
      </c>
    </row>
    <row r="31" spans="1:8" ht="12.75">
      <c r="A31" s="326"/>
      <c r="B31" s="328" t="s">
        <v>116</v>
      </c>
      <c r="C31" s="336">
        <v>350000</v>
      </c>
      <c r="D31" s="334"/>
      <c r="E31" s="80" t="s">
        <v>199</v>
      </c>
      <c r="F31" s="90">
        <v>30000</v>
      </c>
      <c r="G31" s="91">
        <v>2200</v>
      </c>
      <c r="H31" s="91">
        <f>H30-F31</f>
        <v>290000</v>
      </c>
    </row>
    <row r="32" spans="1:8" ht="12.75">
      <c r="A32" s="326"/>
      <c r="B32" s="328"/>
      <c r="C32" s="337"/>
      <c r="D32" s="334"/>
      <c r="E32" s="80" t="s">
        <v>200</v>
      </c>
      <c r="F32" s="90">
        <v>30000</v>
      </c>
      <c r="G32" s="91">
        <v>2000</v>
      </c>
      <c r="H32" s="91">
        <f>H31-F32</f>
        <v>260000</v>
      </c>
    </row>
    <row r="33" spans="1:8" ht="16.5" customHeight="1">
      <c r="A33" s="327"/>
      <c r="B33" s="329"/>
      <c r="C33" s="338"/>
      <c r="D33" s="335"/>
      <c r="E33" s="67" t="s">
        <v>201</v>
      </c>
      <c r="F33" s="92">
        <v>30000</v>
      </c>
      <c r="G33" s="93">
        <v>1780</v>
      </c>
      <c r="H33" s="93">
        <f>H32-F33</f>
        <v>230000</v>
      </c>
    </row>
    <row r="34" spans="1:8" ht="22.5" customHeight="1">
      <c r="A34" s="325">
        <v>8</v>
      </c>
      <c r="B34" s="49" t="s">
        <v>206</v>
      </c>
      <c r="C34" s="86">
        <v>2005</v>
      </c>
      <c r="D34" s="333">
        <v>200000</v>
      </c>
      <c r="E34" s="80" t="s">
        <v>198</v>
      </c>
      <c r="F34" s="90"/>
      <c r="G34" s="91">
        <v>1500</v>
      </c>
      <c r="H34" s="91">
        <v>200000</v>
      </c>
    </row>
    <row r="35" spans="1:8" ht="16.5" customHeight="1">
      <c r="A35" s="326"/>
      <c r="B35" s="328" t="s">
        <v>116</v>
      </c>
      <c r="C35" s="336"/>
      <c r="D35" s="334"/>
      <c r="E35" s="80" t="s">
        <v>199</v>
      </c>
      <c r="F35" s="90"/>
      <c r="G35" s="91">
        <v>1500</v>
      </c>
      <c r="H35" s="91">
        <v>200000</v>
      </c>
    </row>
    <row r="36" spans="1:8" ht="16.5" customHeight="1">
      <c r="A36" s="326"/>
      <c r="B36" s="328"/>
      <c r="C36" s="337"/>
      <c r="D36" s="334"/>
      <c r="E36" s="80" t="s">
        <v>200</v>
      </c>
      <c r="F36" s="90">
        <v>30000</v>
      </c>
      <c r="G36" s="91">
        <v>1500</v>
      </c>
      <c r="H36" s="91">
        <f>H35-F36</f>
        <v>170000</v>
      </c>
    </row>
    <row r="37" spans="1:8" ht="16.5" customHeight="1">
      <c r="A37" s="327"/>
      <c r="B37" s="329"/>
      <c r="C37" s="338"/>
      <c r="D37" s="335"/>
      <c r="E37" s="80" t="s">
        <v>201</v>
      </c>
      <c r="F37" s="90">
        <v>30000</v>
      </c>
      <c r="G37" s="91">
        <v>1300</v>
      </c>
      <c r="H37" s="91">
        <f>H36-F37</f>
        <v>140000</v>
      </c>
    </row>
    <row r="38" spans="1:8" ht="15" customHeight="1">
      <c r="A38" s="325">
        <v>9</v>
      </c>
      <c r="B38" s="101" t="s">
        <v>174</v>
      </c>
      <c r="C38" s="64">
        <v>2005</v>
      </c>
      <c r="D38" s="333">
        <v>2280000</v>
      </c>
      <c r="E38" s="79" t="s">
        <v>198</v>
      </c>
      <c r="F38" s="88">
        <v>25000</v>
      </c>
      <c r="G38" s="89">
        <v>24088</v>
      </c>
      <c r="H38" s="89">
        <f>D38-F38</f>
        <v>2255000</v>
      </c>
    </row>
    <row r="39" spans="1:8" ht="23.25" customHeight="1">
      <c r="A39" s="326"/>
      <c r="B39" s="103" t="s">
        <v>206</v>
      </c>
      <c r="C39" s="336">
        <v>2280000</v>
      </c>
      <c r="D39" s="334"/>
      <c r="E39" s="80" t="s">
        <v>199</v>
      </c>
      <c r="F39" s="90">
        <v>40000</v>
      </c>
      <c r="G39" s="91">
        <v>28203</v>
      </c>
      <c r="H39" s="91">
        <f>H38-F39</f>
        <v>2215000</v>
      </c>
    </row>
    <row r="40" spans="1:8" ht="15" customHeight="1">
      <c r="A40" s="326"/>
      <c r="B40" s="102"/>
      <c r="C40" s="337"/>
      <c r="D40" s="334"/>
      <c r="E40" s="80" t="s">
        <v>200</v>
      </c>
      <c r="F40" s="90">
        <v>40000</v>
      </c>
      <c r="G40" s="91">
        <v>27893</v>
      </c>
      <c r="H40" s="91">
        <f>H39-F40</f>
        <v>2175000</v>
      </c>
    </row>
    <row r="41" spans="1:8" ht="15" customHeight="1">
      <c r="A41" s="327"/>
      <c r="B41" s="104" t="s">
        <v>207</v>
      </c>
      <c r="C41" s="338"/>
      <c r="D41" s="335"/>
      <c r="E41" s="67" t="s">
        <v>201</v>
      </c>
      <c r="F41" s="92">
        <v>40000</v>
      </c>
      <c r="G41" s="93">
        <v>27519</v>
      </c>
      <c r="H41" s="93">
        <f>H40-F41</f>
        <v>2135000</v>
      </c>
    </row>
    <row r="42" spans="1:8" ht="18" customHeight="1">
      <c r="A42" s="325">
        <v>10</v>
      </c>
      <c r="B42" s="103" t="s">
        <v>225</v>
      </c>
      <c r="C42" s="129">
        <v>2006</v>
      </c>
      <c r="D42" s="114"/>
      <c r="E42" s="67" t="s">
        <v>198</v>
      </c>
      <c r="F42" s="92">
        <v>0</v>
      </c>
      <c r="G42" s="98">
        <v>0</v>
      </c>
      <c r="H42" s="93">
        <v>0</v>
      </c>
    </row>
    <row r="43" spans="1:8" ht="15" customHeight="1">
      <c r="A43" s="326"/>
      <c r="B43" s="103"/>
      <c r="C43" s="128"/>
      <c r="D43" s="114"/>
      <c r="E43" s="67" t="s">
        <v>199</v>
      </c>
      <c r="F43" s="92">
        <v>0</v>
      </c>
      <c r="G43" s="98">
        <f>16537+16537</f>
        <v>33074</v>
      </c>
      <c r="H43" s="93">
        <v>5700000</v>
      </c>
    </row>
    <row r="44" spans="1:8" ht="15" customHeight="1">
      <c r="A44" s="326"/>
      <c r="B44" s="123"/>
      <c r="C44" s="95">
        <v>5700000</v>
      </c>
      <c r="D44" s="114"/>
      <c r="E44" s="67" t="s">
        <v>200</v>
      </c>
      <c r="F44" s="92">
        <v>0</v>
      </c>
      <c r="G44" s="98">
        <f>23565*3</f>
        <v>70695</v>
      </c>
      <c r="H44" s="93">
        <v>5700000</v>
      </c>
    </row>
    <row r="45" spans="1:8" ht="15" customHeight="1">
      <c r="A45" s="326"/>
      <c r="B45" s="123" t="s">
        <v>226</v>
      </c>
      <c r="C45" s="95"/>
      <c r="D45" s="114"/>
      <c r="E45" s="67" t="s">
        <v>201</v>
      </c>
      <c r="F45" s="92">
        <v>0</v>
      </c>
      <c r="G45" s="98">
        <f>23565*3</f>
        <v>70695</v>
      </c>
      <c r="H45" s="93">
        <v>5700000</v>
      </c>
    </row>
    <row r="46" spans="1:8" ht="15" customHeight="1">
      <c r="A46" s="325">
        <v>11</v>
      </c>
      <c r="B46" s="126" t="s">
        <v>227</v>
      </c>
      <c r="C46" s="65">
        <v>2006</v>
      </c>
      <c r="D46" s="113"/>
      <c r="E46" s="67" t="s">
        <v>198</v>
      </c>
      <c r="F46" s="92">
        <v>0</v>
      </c>
      <c r="G46" s="98">
        <v>0</v>
      </c>
      <c r="H46" s="93">
        <v>0</v>
      </c>
    </row>
    <row r="47" spans="1:8" ht="15" customHeight="1">
      <c r="A47" s="326"/>
      <c r="B47" s="124"/>
      <c r="C47" s="95"/>
      <c r="D47" s="114"/>
      <c r="E47" s="67" t="s">
        <v>199</v>
      </c>
      <c r="F47" s="92">
        <v>0</v>
      </c>
      <c r="G47" s="98">
        <v>0</v>
      </c>
      <c r="H47" s="93">
        <v>0</v>
      </c>
    </row>
    <row r="48" spans="1:8" ht="15" customHeight="1">
      <c r="A48" s="326"/>
      <c r="B48" s="124"/>
      <c r="C48" s="95">
        <v>500000</v>
      </c>
      <c r="D48" s="114"/>
      <c r="E48" s="67" t="s">
        <v>200</v>
      </c>
      <c r="F48" s="92">
        <v>0</v>
      </c>
      <c r="G48" s="98">
        <v>3700</v>
      </c>
      <c r="H48" s="93">
        <v>500000</v>
      </c>
    </row>
    <row r="49" spans="1:17" ht="15" customHeight="1">
      <c r="A49" s="327"/>
      <c r="B49" s="125" t="s">
        <v>228</v>
      </c>
      <c r="C49" s="96"/>
      <c r="D49" s="99"/>
      <c r="E49" s="67" t="s">
        <v>201</v>
      </c>
      <c r="F49" s="92">
        <v>0</v>
      </c>
      <c r="G49" s="98">
        <v>3700</v>
      </c>
      <c r="H49" s="93">
        <v>500000</v>
      </c>
      <c r="N49" s="127"/>
      <c r="O49" s="127"/>
      <c r="P49" s="127"/>
      <c r="Q49" s="127"/>
    </row>
    <row r="50" spans="1:17" ht="15" customHeight="1">
      <c r="A50" s="325">
        <v>12</v>
      </c>
      <c r="B50" s="322" t="s">
        <v>125</v>
      </c>
      <c r="C50" s="336"/>
      <c r="D50" s="333">
        <f>D6+D10+D14+D18+D22+D26+D30+D34+D38</f>
        <v>8651442</v>
      </c>
      <c r="E50" s="67" t="s">
        <v>198</v>
      </c>
      <c r="F50" s="92">
        <f>F6+F10+F14+F18+F22+F26+F30+F34+F38</f>
        <v>454442</v>
      </c>
      <c r="G50" s="98">
        <f>G6+G10+G14+G18+G22+G26+G30+G34+G38</f>
        <v>124425</v>
      </c>
      <c r="H50" s="93">
        <f>D50+H43-F50</f>
        <v>13897000</v>
      </c>
      <c r="N50" s="127"/>
      <c r="O50" s="127"/>
      <c r="P50" s="127"/>
      <c r="Q50" s="127"/>
    </row>
    <row r="51" spans="1:17" ht="15" customHeight="1">
      <c r="A51" s="326"/>
      <c r="B51" s="323"/>
      <c r="C51" s="337"/>
      <c r="D51" s="334"/>
      <c r="E51" s="67" t="s">
        <v>199</v>
      </c>
      <c r="F51" s="92">
        <f>F7+F11+F15+F19+F23+F27+F31+F35+F39</f>
        <v>394000</v>
      </c>
      <c r="G51" s="98">
        <f>G19+G23+G27+G31+G35+G39+G43+G47</f>
        <v>154092</v>
      </c>
      <c r="H51" s="93">
        <f>H50+C48-F51</f>
        <v>14003000</v>
      </c>
      <c r="N51" s="127"/>
      <c r="O51" s="127"/>
      <c r="P51" s="127"/>
      <c r="Q51" s="127"/>
    </row>
    <row r="52" spans="1:17" ht="15" customHeight="1">
      <c r="A52" s="326"/>
      <c r="B52" s="323"/>
      <c r="C52" s="337"/>
      <c r="D52" s="334"/>
      <c r="E52" s="67" t="s">
        <v>200</v>
      </c>
      <c r="F52" s="92">
        <f>F8+F12+F16+F20+F24+F28+F32+F36+F40</f>
        <v>480000</v>
      </c>
      <c r="G52" s="98">
        <f>G12+G20+G24+G28+G32+G36+G40</f>
        <v>117846</v>
      </c>
      <c r="H52" s="93">
        <f>H51-F52</f>
        <v>13523000</v>
      </c>
      <c r="N52" s="127"/>
      <c r="O52" s="127"/>
      <c r="P52" s="127"/>
      <c r="Q52" s="127"/>
    </row>
    <row r="53" spans="1:17" ht="15" customHeight="1">
      <c r="A53" s="326"/>
      <c r="B53" s="323"/>
      <c r="C53" s="337"/>
      <c r="D53" s="334"/>
      <c r="E53" s="67" t="s">
        <v>201</v>
      </c>
      <c r="F53" s="92">
        <f>F9+F13+F17+F21+F25+F29+F33+F37+F41</f>
        <v>428000</v>
      </c>
      <c r="G53" s="98">
        <f>G9+G13+G17+G21+G25+G29+G33+G37+G41+G44+G48+G45+G49</f>
        <v>260702</v>
      </c>
      <c r="H53" s="93">
        <f>H52-F53</f>
        <v>13095000</v>
      </c>
      <c r="N53" s="127"/>
      <c r="O53" s="127"/>
      <c r="P53" s="127"/>
      <c r="Q53" s="127"/>
    </row>
    <row r="54" spans="1:17" ht="15" customHeight="1">
      <c r="A54" s="327"/>
      <c r="B54" s="324"/>
      <c r="C54" s="338"/>
      <c r="D54" s="335"/>
      <c r="E54" s="67" t="s">
        <v>209</v>
      </c>
      <c r="F54" s="92">
        <f>F50+F51+F52+F53</f>
        <v>1756442</v>
      </c>
      <c r="G54" s="98">
        <f>G50+G51+G52+G53</f>
        <v>657065</v>
      </c>
      <c r="H54" s="93"/>
      <c r="N54" s="127"/>
      <c r="O54" s="127"/>
      <c r="P54" s="127"/>
      <c r="Q54" s="127"/>
    </row>
    <row r="55" spans="1:17" ht="24.75" customHeight="1">
      <c r="A55" s="330" t="s">
        <v>370</v>
      </c>
      <c r="B55" s="331"/>
      <c r="C55" s="331"/>
      <c r="D55" s="331"/>
      <c r="E55" s="331"/>
      <c r="F55" s="331"/>
      <c r="G55" s="331"/>
      <c r="H55" s="332"/>
      <c r="N55" s="127"/>
      <c r="O55" s="127"/>
      <c r="P55" s="127"/>
      <c r="Q55" s="127"/>
    </row>
    <row r="56" spans="1:17" ht="24.75" customHeight="1">
      <c r="A56" s="325">
        <v>11</v>
      </c>
      <c r="B56" s="105" t="s">
        <v>206</v>
      </c>
      <c r="C56" s="87">
        <v>2005</v>
      </c>
      <c r="D56" s="333">
        <v>845718</v>
      </c>
      <c r="E56" s="130" t="s">
        <v>198</v>
      </c>
      <c r="F56" s="131"/>
      <c r="G56" s="132"/>
      <c r="H56" s="133">
        <v>845718</v>
      </c>
      <c r="N56" s="127"/>
      <c r="O56" s="127"/>
      <c r="P56" s="127"/>
      <c r="Q56" s="127"/>
    </row>
    <row r="57" spans="1:17" ht="27" customHeight="1">
      <c r="A57" s="326"/>
      <c r="B57" s="339" t="s">
        <v>208</v>
      </c>
      <c r="C57" s="337"/>
      <c r="D57" s="334"/>
      <c r="E57" s="67" t="s">
        <v>199</v>
      </c>
      <c r="F57" s="92">
        <v>845718</v>
      </c>
      <c r="G57" s="98">
        <v>10000</v>
      </c>
      <c r="H57" s="93">
        <f>D56-F57</f>
        <v>0</v>
      </c>
      <c r="N57" s="127"/>
      <c r="O57" s="127"/>
      <c r="P57" s="127"/>
      <c r="Q57" s="127"/>
    </row>
    <row r="58" spans="1:17" ht="15" customHeight="1">
      <c r="A58" s="326"/>
      <c r="B58" s="339"/>
      <c r="C58" s="337"/>
      <c r="D58" s="334"/>
      <c r="E58" s="67" t="s">
        <v>200</v>
      </c>
      <c r="F58" s="92"/>
      <c r="G58" s="98"/>
      <c r="H58" s="93">
        <v>0</v>
      </c>
      <c r="N58" s="127"/>
      <c r="O58" s="127"/>
      <c r="P58" s="127"/>
      <c r="Q58" s="127"/>
    </row>
    <row r="59" spans="1:17" ht="15" customHeight="1">
      <c r="A59" s="327"/>
      <c r="B59" s="106" t="s">
        <v>116</v>
      </c>
      <c r="C59" s="338"/>
      <c r="D59" s="335"/>
      <c r="E59" s="67" t="s">
        <v>201</v>
      </c>
      <c r="F59" s="92"/>
      <c r="G59" s="98"/>
      <c r="H59" s="93">
        <v>0</v>
      </c>
      <c r="N59" s="127"/>
      <c r="O59" s="127"/>
      <c r="P59" s="127"/>
      <c r="Q59" s="127"/>
    </row>
    <row r="60" spans="4:16" ht="12.75">
      <c r="D60" s="100"/>
      <c r="E60" s="1"/>
      <c r="F60" s="100"/>
      <c r="G60" s="100"/>
      <c r="H60" s="100"/>
      <c r="J60" s="1"/>
      <c r="P60" s="127"/>
    </row>
    <row r="61" spans="4:16" ht="12.75">
      <c r="D61" s="100"/>
      <c r="E61" s="1"/>
      <c r="F61" s="100"/>
      <c r="G61" s="100"/>
      <c r="H61" s="100"/>
      <c r="P61" s="127"/>
    </row>
    <row r="62" spans="4:8" ht="12.75">
      <c r="D62" s="100"/>
      <c r="E62" s="1"/>
      <c r="F62" s="100"/>
      <c r="G62" s="100"/>
      <c r="H62" s="100"/>
    </row>
    <row r="63" spans="4:8" ht="12.75">
      <c r="D63" s="100"/>
      <c r="E63" s="1"/>
      <c r="F63" s="100"/>
      <c r="G63" s="100"/>
      <c r="H63" s="100"/>
    </row>
    <row r="64" spans="4:8" ht="12.75">
      <c r="D64" s="100"/>
      <c r="E64" s="1"/>
      <c r="F64" s="100"/>
      <c r="G64" s="100"/>
      <c r="H64" s="100"/>
    </row>
    <row r="65" spans="4:8" ht="12.75">
      <c r="D65" s="100"/>
      <c r="E65" s="1"/>
      <c r="F65" s="100"/>
      <c r="G65" s="100"/>
      <c r="H65" s="100"/>
    </row>
    <row r="66" spans="4:8" ht="12.75">
      <c r="D66" s="100"/>
      <c r="E66" s="1"/>
      <c r="F66" s="1"/>
      <c r="G66" s="1"/>
      <c r="H66" s="1"/>
    </row>
    <row r="67" ht="12.75">
      <c r="D67" s="100"/>
    </row>
    <row r="68" ht="12.75">
      <c r="D68" s="100"/>
    </row>
    <row r="69" ht="12.75">
      <c r="D69" s="100"/>
    </row>
    <row r="70" ht="12.75">
      <c r="D70" s="100"/>
    </row>
    <row r="71" ht="12.75">
      <c r="D71" s="100"/>
    </row>
    <row r="72" ht="12.75">
      <c r="D72" s="100"/>
    </row>
    <row r="73" ht="12.75">
      <c r="D73" s="100"/>
    </row>
    <row r="74" ht="12.75">
      <c r="D74" s="100"/>
    </row>
    <row r="75" ht="12.75">
      <c r="D75" s="100"/>
    </row>
    <row r="76" ht="12.75">
      <c r="D76" s="100"/>
    </row>
    <row r="77" ht="12.75">
      <c r="D77" s="100"/>
    </row>
    <row r="78" ht="12.75">
      <c r="D78" s="100"/>
    </row>
    <row r="79" ht="12.75">
      <c r="D79" s="100"/>
    </row>
    <row r="80" ht="12.75">
      <c r="D80" s="100"/>
    </row>
    <row r="81" ht="12.75">
      <c r="D81" s="100"/>
    </row>
    <row r="82" ht="12.75">
      <c r="D82" s="100"/>
    </row>
    <row r="83" ht="12.75">
      <c r="D83" s="100"/>
    </row>
    <row r="84" ht="12.75">
      <c r="D84" s="100"/>
    </row>
    <row r="85" ht="12.75">
      <c r="D85" s="100"/>
    </row>
    <row r="86" ht="12.75">
      <c r="D86" s="100"/>
    </row>
    <row r="87" ht="12.75">
      <c r="D87" s="100"/>
    </row>
    <row r="88" ht="12.75">
      <c r="D88" s="100"/>
    </row>
    <row r="89" ht="12.75">
      <c r="D89" s="100"/>
    </row>
    <row r="90" ht="12.75">
      <c r="D90" s="100"/>
    </row>
    <row r="91" ht="12.75">
      <c r="D91" s="100"/>
    </row>
    <row r="92" ht="12.75">
      <c r="D92" s="100"/>
    </row>
    <row r="93" ht="12.75">
      <c r="D93" s="100"/>
    </row>
    <row r="94" ht="12.75">
      <c r="D94" s="100"/>
    </row>
    <row r="95" ht="12.75">
      <c r="D95" s="100"/>
    </row>
    <row r="96" ht="12.75">
      <c r="D96" s="100"/>
    </row>
    <row r="97" ht="12.75">
      <c r="D97" s="100"/>
    </row>
    <row r="98" ht="12.75">
      <c r="D98" s="100"/>
    </row>
    <row r="99" ht="12.75">
      <c r="D99" s="100"/>
    </row>
    <row r="100" ht="12.75">
      <c r="D100" s="100"/>
    </row>
    <row r="101" ht="12.75">
      <c r="D101" s="100"/>
    </row>
    <row r="102" ht="12.75">
      <c r="D102" s="100"/>
    </row>
    <row r="103" ht="12.75">
      <c r="D103" s="100"/>
    </row>
    <row r="104" ht="12.75">
      <c r="D104" s="100"/>
    </row>
    <row r="105" ht="12.75">
      <c r="D105" s="100"/>
    </row>
    <row r="106" ht="12.75">
      <c r="D106" s="100"/>
    </row>
    <row r="107" ht="12.75">
      <c r="D107" s="100"/>
    </row>
    <row r="108" ht="12.75">
      <c r="D108" s="100"/>
    </row>
    <row r="109" ht="12.75">
      <c r="D109" s="100"/>
    </row>
    <row r="110" ht="12.75">
      <c r="D110" s="100"/>
    </row>
    <row r="111" ht="12.75">
      <c r="D111" s="100"/>
    </row>
    <row r="112" ht="12.75">
      <c r="D112" s="100"/>
    </row>
    <row r="113" ht="12.75">
      <c r="D113" s="100"/>
    </row>
    <row r="114" ht="12.75">
      <c r="D114" s="100"/>
    </row>
    <row r="115" ht="12.75">
      <c r="D115" s="100"/>
    </row>
    <row r="116" ht="12.75">
      <c r="D116" s="100"/>
    </row>
    <row r="117" ht="12.75">
      <c r="D117" s="100"/>
    </row>
    <row r="118" ht="12.75">
      <c r="D118" s="100"/>
    </row>
    <row r="119" ht="12.75">
      <c r="D119" s="100"/>
    </row>
    <row r="120" ht="12.75">
      <c r="D120" s="100"/>
    </row>
    <row r="121" ht="12.75">
      <c r="D121" s="100"/>
    </row>
    <row r="122" ht="12.75">
      <c r="D122" s="100"/>
    </row>
    <row r="123" ht="12.75">
      <c r="D123" s="100"/>
    </row>
    <row r="124" ht="12.75">
      <c r="D124" s="100"/>
    </row>
    <row r="125" ht="12.75">
      <c r="D125" s="100"/>
    </row>
    <row r="126" ht="12.75">
      <c r="D126" s="100"/>
    </row>
    <row r="127" ht="12.75">
      <c r="D127" s="100"/>
    </row>
    <row r="128" ht="12.75">
      <c r="D128" s="100"/>
    </row>
    <row r="129" ht="12.75">
      <c r="D129" s="100"/>
    </row>
    <row r="130" ht="12.75">
      <c r="D130" s="100"/>
    </row>
    <row r="131" ht="12.75">
      <c r="D131" s="100"/>
    </row>
    <row r="132" ht="12.75">
      <c r="D132" s="100"/>
    </row>
    <row r="133" ht="12.75">
      <c r="D133" s="100"/>
    </row>
    <row r="134" ht="12.75">
      <c r="D134" s="100"/>
    </row>
    <row r="135" ht="12.75">
      <c r="D135" s="100"/>
    </row>
    <row r="136" ht="12.75">
      <c r="D136" s="100"/>
    </row>
    <row r="137" ht="12.75">
      <c r="D137" s="100"/>
    </row>
    <row r="138" ht="12.75">
      <c r="D138" s="100"/>
    </row>
    <row r="139" ht="12.75">
      <c r="D139" s="100"/>
    </row>
    <row r="140" ht="12.75">
      <c r="D140" s="100"/>
    </row>
    <row r="141" ht="12.75">
      <c r="D141" s="100"/>
    </row>
    <row r="142" ht="12.75">
      <c r="D142" s="100"/>
    </row>
    <row r="143" ht="12.75">
      <c r="D143" s="100"/>
    </row>
    <row r="144" ht="12.75">
      <c r="D144" s="100"/>
    </row>
    <row r="145" ht="12.75">
      <c r="D145" s="100"/>
    </row>
    <row r="146" ht="12.75">
      <c r="D146" s="100"/>
    </row>
    <row r="147" ht="12.75">
      <c r="D147" s="100"/>
    </row>
    <row r="148" ht="12.75">
      <c r="D148" s="100"/>
    </row>
    <row r="149" ht="12.75">
      <c r="D149" s="100"/>
    </row>
    <row r="150" ht="12.75">
      <c r="D150" s="100"/>
    </row>
    <row r="151" ht="12.75">
      <c r="D151" s="100"/>
    </row>
    <row r="152" ht="12.75">
      <c r="D152" s="100"/>
    </row>
    <row r="153" ht="12.75">
      <c r="D153" s="100"/>
    </row>
    <row r="154" ht="12.75">
      <c r="D154" s="100"/>
    </row>
    <row r="155" ht="12.75">
      <c r="D155" s="100"/>
    </row>
    <row r="156" ht="12.75">
      <c r="D156" s="100"/>
    </row>
    <row r="157" ht="12.75">
      <c r="D157" s="100"/>
    </row>
    <row r="158" ht="12.75">
      <c r="D158" s="100"/>
    </row>
    <row r="159" ht="12.75">
      <c r="D159" s="100"/>
    </row>
    <row r="160" ht="12.75">
      <c r="D160" s="100"/>
    </row>
    <row r="161" ht="12.75">
      <c r="D161" s="100"/>
    </row>
    <row r="162" ht="12.75">
      <c r="D162" s="100"/>
    </row>
    <row r="163" ht="12.75">
      <c r="D163" s="100"/>
    </row>
    <row r="164" ht="12.75">
      <c r="D164" s="100"/>
    </row>
    <row r="165" ht="12.75">
      <c r="D165" s="100"/>
    </row>
    <row r="166" ht="12.75">
      <c r="D166" s="100"/>
    </row>
    <row r="167" ht="12.75">
      <c r="D167" s="100"/>
    </row>
    <row r="168" ht="12.75">
      <c r="D168" s="100"/>
    </row>
    <row r="169" ht="12.75">
      <c r="D169" s="100"/>
    </row>
    <row r="170" ht="12.75">
      <c r="D170" s="100"/>
    </row>
    <row r="171" ht="12.75">
      <c r="D171" s="100"/>
    </row>
    <row r="172" ht="12.75">
      <c r="D172" s="100"/>
    </row>
    <row r="173" ht="12.75">
      <c r="D173" s="100"/>
    </row>
    <row r="174" ht="12.75">
      <c r="D174" s="100"/>
    </row>
    <row r="175" ht="12.75">
      <c r="D175" s="100"/>
    </row>
    <row r="176" ht="12.75">
      <c r="D176" s="100"/>
    </row>
    <row r="177" ht="12.75">
      <c r="D177" s="100"/>
    </row>
    <row r="178" ht="12.75">
      <c r="D178" s="100"/>
    </row>
    <row r="179" ht="12.75">
      <c r="D179" s="100"/>
    </row>
    <row r="180" ht="12.75">
      <c r="D180" s="100"/>
    </row>
    <row r="181" ht="12.75">
      <c r="D181" s="100"/>
    </row>
    <row r="182" ht="12.75">
      <c r="D182" s="100"/>
    </row>
    <row r="183" ht="12.75">
      <c r="D183" s="100"/>
    </row>
    <row r="184" ht="12.75">
      <c r="D184" s="100"/>
    </row>
    <row r="185" ht="12.75">
      <c r="D185" s="100"/>
    </row>
    <row r="186" ht="12.75">
      <c r="D186" s="100"/>
    </row>
    <row r="187" ht="12.75">
      <c r="D187" s="100"/>
    </row>
    <row r="188" ht="12.75">
      <c r="D188" s="100"/>
    </row>
    <row r="189" ht="12.75">
      <c r="D189" s="100"/>
    </row>
    <row r="190" ht="12.75">
      <c r="D190" s="100"/>
    </row>
    <row r="191" ht="12.75">
      <c r="D191" s="100"/>
    </row>
    <row r="192" ht="12.75">
      <c r="D192" s="100"/>
    </row>
    <row r="193" ht="12.75">
      <c r="D193" s="100"/>
    </row>
    <row r="194" ht="12.75">
      <c r="D194" s="100"/>
    </row>
    <row r="195" ht="12.75">
      <c r="D195" s="100"/>
    </row>
    <row r="196" ht="12.75">
      <c r="D196" s="100"/>
    </row>
    <row r="197" ht="12.75">
      <c r="D197" s="100"/>
    </row>
    <row r="198" ht="12.75">
      <c r="D198" s="100"/>
    </row>
    <row r="199" ht="12.75">
      <c r="D199" s="100"/>
    </row>
    <row r="200" ht="12.75">
      <c r="D200" s="100"/>
    </row>
    <row r="201" ht="12.75">
      <c r="D201" s="100"/>
    </row>
    <row r="202" ht="12.75">
      <c r="D202" s="100"/>
    </row>
    <row r="203" ht="12.75">
      <c r="D203" s="100"/>
    </row>
    <row r="204" ht="12.75">
      <c r="D204" s="100"/>
    </row>
    <row r="205" ht="12.75">
      <c r="D205" s="100"/>
    </row>
    <row r="206" ht="12.75">
      <c r="D206" s="100"/>
    </row>
    <row r="207" ht="12.75">
      <c r="D207" s="100"/>
    </row>
    <row r="208" ht="12.75">
      <c r="D208" s="100"/>
    </row>
    <row r="209" ht="12.75">
      <c r="D209" s="100"/>
    </row>
    <row r="210" ht="12.75">
      <c r="D210" s="100"/>
    </row>
    <row r="211" ht="12.75">
      <c r="D211" s="100"/>
    </row>
    <row r="212" ht="12.75">
      <c r="D212" s="100"/>
    </row>
    <row r="213" ht="12.75">
      <c r="D213" s="100"/>
    </row>
    <row r="214" ht="12.75">
      <c r="D214" s="100"/>
    </row>
    <row r="215" ht="12.75">
      <c r="D215" s="100"/>
    </row>
    <row r="216" ht="12.75">
      <c r="D216" s="100"/>
    </row>
    <row r="217" ht="12.75">
      <c r="D217" s="100"/>
    </row>
    <row r="218" ht="12.75">
      <c r="D218" s="100"/>
    </row>
    <row r="219" ht="12.75">
      <c r="D219" s="100"/>
    </row>
    <row r="220" ht="12.75">
      <c r="D220" s="100"/>
    </row>
    <row r="221" ht="12.75">
      <c r="D221" s="100"/>
    </row>
    <row r="222" ht="12.75">
      <c r="D222" s="100"/>
    </row>
    <row r="223" ht="12.75">
      <c r="D223" s="100"/>
    </row>
    <row r="224" ht="12.75">
      <c r="D224" s="100"/>
    </row>
    <row r="225" ht="12.75">
      <c r="D225" s="100"/>
    </row>
    <row r="226" ht="12.75">
      <c r="D226" s="100"/>
    </row>
    <row r="227" ht="12.75">
      <c r="D227" s="100"/>
    </row>
    <row r="228" ht="12.75">
      <c r="D228" s="100"/>
    </row>
    <row r="229" ht="12.75">
      <c r="D229" s="100"/>
    </row>
    <row r="230" ht="12.75">
      <c r="D230" s="100"/>
    </row>
    <row r="231" ht="12.75">
      <c r="D231" s="100"/>
    </row>
    <row r="232" ht="12.75">
      <c r="D232" s="100"/>
    </row>
    <row r="233" ht="12.75">
      <c r="D233" s="100"/>
    </row>
    <row r="234" ht="12.75">
      <c r="D234" s="100"/>
    </row>
    <row r="235" ht="12.75">
      <c r="D235" s="100"/>
    </row>
    <row r="236" ht="12.75">
      <c r="D236" s="100"/>
    </row>
    <row r="237" ht="12.75">
      <c r="D237" s="100"/>
    </row>
    <row r="238" ht="12.75">
      <c r="D238" s="100"/>
    </row>
    <row r="239" ht="12.75">
      <c r="D239" s="100"/>
    </row>
    <row r="240" ht="12.75">
      <c r="D240" s="100"/>
    </row>
    <row r="241" ht="12.75">
      <c r="D241" s="100"/>
    </row>
    <row r="242" ht="12.75">
      <c r="D242" s="100"/>
    </row>
    <row r="243" ht="12.75">
      <c r="D243" s="100"/>
    </row>
    <row r="244" ht="12.75">
      <c r="D244" s="100"/>
    </row>
    <row r="245" ht="12.75">
      <c r="D245" s="100"/>
    </row>
    <row r="246" ht="12.75">
      <c r="D246" s="100"/>
    </row>
    <row r="247" ht="12.75">
      <c r="D247" s="100"/>
    </row>
    <row r="248" ht="12.75">
      <c r="D248" s="100"/>
    </row>
    <row r="249" ht="12.75">
      <c r="D249" s="100"/>
    </row>
    <row r="250" ht="12.75">
      <c r="D250" s="100"/>
    </row>
    <row r="251" ht="12.75">
      <c r="D251" s="100"/>
    </row>
    <row r="252" ht="12.75">
      <c r="D252" s="100"/>
    </row>
    <row r="253" ht="12.75">
      <c r="D253" s="100"/>
    </row>
    <row r="254" ht="12.75">
      <c r="D254" s="100"/>
    </row>
    <row r="255" ht="12.75">
      <c r="D255" s="100"/>
    </row>
    <row r="256" ht="12.75">
      <c r="D256" s="100"/>
    </row>
    <row r="257" ht="12.75">
      <c r="D257" s="100"/>
    </row>
    <row r="258" ht="12.75">
      <c r="D258" s="100"/>
    </row>
    <row r="259" ht="12.75">
      <c r="D259" s="100"/>
    </row>
    <row r="260" ht="12.75">
      <c r="D260" s="100"/>
    </row>
    <row r="261" ht="12.75">
      <c r="D261" s="100"/>
    </row>
    <row r="262" ht="12.75">
      <c r="D262" s="100"/>
    </row>
    <row r="263" ht="12.75">
      <c r="D263" s="100"/>
    </row>
    <row r="264" ht="12.75">
      <c r="D264" s="100"/>
    </row>
    <row r="265" ht="12.75">
      <c r="D265" s="100"/>
    </row>
    <row r="266" ht="12.75">
      <c r="D266" s="100"/>
    </row>
    <row r="267" ht="12.75">
      <c r="D267" s="100"/>
    </row>
    <row r="268" ht="12.75">
      <c r="D268" s="100"/>
    </row>
    <row r="269" ht="12.75">
      <c r="D269" s="100"/>
    </row>
    <row r="270" ht="12.75">
      <c r="D270" s="100"/>
    </row>
    <row r="271" ht="12.75">
      <c r="D271" s="100"/>
    </row>
    <row r="272" ht="12.75">
      <c r="D272" s="100"/>
    </row>
    <row r="273" ht="12.75">
      <c r="D273" s="100"/>
    </row>
    <row r="274" ht="12.75">
      <c r="D274" s="100"/>
    </row>
    <row r="275" ht="12.75">
      <c r="D275" s="100"/>
    </row>
    <row r="276" ht="12.75">
      <c r="D276" s="100"/>
    </row>
    <row r="277" ht="12.75">
      <c r="D277" s="100"/>
    </row>
    <row r="278" ht="12.75">
      <c r="D278" s="100"/>
    </row>
    <row r="279" ht="12.75">
      <c r="D279" s="100"/>
    </row>
    <row r="280" ht="12.75">
      <c r="D280" s="100"/>
    </row>
    <row r="281" ht="12.75">
      <c r="D281" s="100"/>
    </row>
    <row r="282" ht="12.75">
      <c r="D282" s="100"/>
    </row>
    <row r="283" ht="12.75">
      <c r="D283" s="100"/>
    </row>
    <row r="284" ht="12.75">
      <c r="D284" s="100"/>
    </row>
    <row r="285" ht="12.75">
      <c r="D285" s="100"/>
    </row>
    <row r="286" ht="12.75">
      <c r="D286" s="100"/>
    </row>
    <row r="287" ht="12.75">
      <c r="D287" s="100"/>
    </row>
    <row r="288" ht="12.75">
      <c r="D288" s="100"/>
    </row>
    <row r="289" ht="12.75">
      <c r="D289" s="100"/>
    </row>
    <row r="290" ht="12.75">
      <c r="D290" s="100"/>
    </row>
    <row r="291" ht="12.75">
      <c r="D291" s="100"/>
    </row>
    <row r="292" ht="12.75">
      <c r="D292" s="100"/>
    </row>
    <row r="293" ht="12.75">
      <c r="D293" s="100"/>
    </row>
    <row r="294" ht="12.75">
      <c r="D294" s="100"/>
    </row>
    <row r="295" ht="12.75">
      <c r="D295" s="100"/>
    </row>
    <row r="296" ht="12.75">
      <c r="D296" s="100"/>
    </row>
    <row r="297" ht="12.75">
      <c r="D297" s="100"/>
    </row>
    <row r="298" ht="12.75">
      <c r="D298" s="100"/>
    </row>
    <row r="299" ht="12.75">
      <c r="D299" s="100"/>
    </row>
    <row r="300" ht="12.75">
      <c r="D300" s="100"/>
    </row>
    <row r="301" ht="12.75">
      <c r="D301" s="100"/>
    </row>
    <row r="302" ht="12.75">
      <c r="D302" s="100"/>
    </row>
    <row r="303" ht="12.75">
      <c r="D303" s="100"/>
    </row>
    <row r="304" ht="12.75">
      <c r="D304" s="100"/>
    </row>
    <row r="305" ht="12.75">
      <c r="D305" s="100"/>
    </row>
    <row r="306" ht="12.75">
      <c r="D306" s="100"/>
    </row>
    <row r="307" ht="12.75">
      <c r="D307" s="100"/>
    </row>
    <row r="308" ht="12.75">
      <c r="D308" s="100"/>
    </row>
    <row r="309" ht="12.75">
      <c r="D309" s="100"/>
    </row>
    <row r="310" ht="12.75">
      <c r="D310" s="100"/>
    </row>
    <row r="311" ht="12.75">
      <c r="D311" s="100"/>
    </row>
    <row r="312" ht="12.75">
      <c r="D312" s="100"/>
    </row>
    <row r="313" ht="12.75">
      <c r="D313" s="100"/>
    </row>
    <row r="314" ht="12.75">
      <c r="D314" s="100"/>
    </row>
    <row r="315" ht="12.75">
      <c r="D315" s="100"/>
    </row>
    <row r="316" ht="12.75">
      <c r="D316" s="100"/>
    </row>
    <row r="317" ht="12.75">
      <c r="D317" s="100"/>
    </row>
    <row r="318" ht="12.75">
      <c r="D318" s="100"/>
    </row>
    <row r="319" ht="12.75">
      <c r="D319" s="100"/>
    </row>
    <row r="320" ht="12.75">
      <c r="D320" s="100"/>
    </row>
    <row r="321" ht="12.75">
      <c r="D321" s="100"/>
    </row>
    <row r="322" ht="12.75">
      <c r="D322" s="100"/>
    </row>
    <row r="323" ht="12.75">
      <c r="D323" s="100"/>
    </row>
    <row r="324" ht="12.75">
      <c r="D324" s="100"/>
    </row>
    <row r="325" ht="12.75">
      <c r="D325" s="100"/>
    </row>
    <row r="326" ht="12.75">
      <c r="D326" s="100"/>
    </row>
    <row r="327" ht="12.75">
      <c r="D327" s="100"/>
    </row>
    <row r="328" ht="12.75">
      <c r="D328" s="100"/>
    </row>
    <row r="329" ht="12.75">
      <c r="D329" s="100"/>
    </row>
    <row r="330" ht="12.75">
      <c r="D330" s="100"/>
    </row>
    <row r="331" ht="12.75">
      <c r="D331" s="100"/>
    </row>
    <row r="332" ht="12.75">
      <c r="D332" s="100"/>
    </row>
    <row r="333" ht="12.75">
      <c r="D333" s="100"/>
    </row>
    <row r="334" ht="12.75">
      <c r="D334" s="100"/>
    </row>
    <row r="335" ht="12.75">
      <c r="D335" s="100"/>
    </row>
    <row r="336" ht="12.75">
      <c r="D336" s="100"/>
    </row>
    <row r="337" ht="12.75">
      <c r="D337" s="100"/>
    </row>
    <row r="338" ht="12.75">
      <c r="D338" s="100"/>
    </row>
    <row r="339" ht="12.75">
      <c r="D339" s="100"/>
    </row>
    <row r="340" ht="12.75">
      <c r="D340" s="100"/>
    </row>
    <row r="341" ht="12.75">
      <c r="D341" s="100"/>
    </row>
    <row r="342" ht="12.75">
      <c r="D342" s="100"/>
    </row>
    <row r="343" ht="12.75">
      <c r="D343" s="100"/>
    </row>
    <row r="344" ht="12.75">
      <c r="D344" s="100"/>
    </row>
    <row r="345" ht="12.75">
      <c r="D345" s="100"/>
    </row>
    <row r="346" ht="12.75">
      <c r="D346" s="100"/>
    </row>
    <row r="347" ht="12.75">
      <c r="D347" s="100"/>
    </row>
    <row r="348" ht="12.75">
      <c r="D348" s="100"/>
    </row>
    <row r="349" ht="12.75">
      <c r="D349" s="100"/>
    </row>
    <row r="350" ht="12.75">
      <c r="D350" s="100"/>
    </row>
    <row r="351" ht="12.75">
      <c r="D351" s="100"/>
    </row>
    <row r="352" ht="12.75">
      <c r="D352" s="100"/>
    </row>
    <row r="353" ht="12.75">
      <c r="D353" s="100"/>
    </row>
    <row r="354" ht="12.75">
      <c r="D354" s="100"/>
    </row>
    <row r="355" ht="12.75">
      <c r="D355" s="100"/>
    </row>
    <row r="356" ht="12.75">
      <c r="D356" s="100"/>
    </row>
    <row r="357" ht="12.75">
      <c r="D357" s="100"/>
    </row>
    <row r="358" ht="12.75">
      <c r="D358" s="100"/>
    </row>
    <row r="359" ht="12.75">
      <c r="D359" s="100"/>
    </row>
    <row r="360" ht="12.75">
      <c r="D360" s="100"/>
    </row>
    <row r="361" ht="12.75">
      <c r="D361" s="100"/>
    </row>
    <row r="362" ht="12.75">
      <c r="D362" s="100"/>
    </row>
    <row r="363" ht="12.75">
      <c r="D363" s="100"/>
    </row>
    <row r="364" ht="12.75">
      <c r="D364" s="100"/>
    </row>
    <row r="365" ht="12.75">
      <c r="D365" s="100"/>
    </row>
    <row r="366" ht="12.75">
      <c r="D366" s="100"/>
    </row>
    <row r="367" ht="12.75">
      <c r="D367" s="100"/>
    </row>
    <row r="368" ht="12.75">
      <c r="D368" s="100"/>
    </row>
    <row r="369" ht="12.75">
      <c r="D369" s="100"/>
    </row>
    <row r="370" ht="12.75">
      <c r="D370" s="100"/>
    </row>
    <row r="371" ht="12.75">
      <c r="D371" s="100"/>
    </row>
    <row r="372" ht="12.75">
      <c r="D372" s="100"/>
    </row>
    <row r="373" ht="12.75">
      <c r="D373" s="100"/>
    </row>
    <row r="374" ht="12.75">
      <c r="D374" s="100"/>
    </row>
    <row r="375" ht="12.75">
      <c r="D375" s="100"/>
    </row>
    <row r="376" ht="12.75">
      <c r="D376" s="100"/>
    </row>
    <row r="377" ht="12.75">
      <c r="D377" s="100"/>
    </row>
    <row r="378" ht="12.75">
      <c r="D378" s="100"/>
    </row>
    <row r="379" ht="12.75">
      <c r="D379" s="100"/>
    </row>
    <row r="380" ht="12.75">
      <c r="D380" s="100"/>
    </row>
    <row r="381" ht="12.75">
      <c r="D381" s="100"/>
    </row>
    <row r="382" ht="12.75">
      <c r="D382" s="100"/>
    </row>
    <row r="383" ht="12.75">
      <c r="D383" s="100"/>
    </row>
    <row r="384" ht="12.75">
      <c r="D384" s="100"/>
    </row>
    <row r="385" ht="12.75">
      <c r="D385" s="100"/>
    </row>
    <row r="386" ht="12.75">
      <c r="D386" s="100"/>
    </row>
    <row r="387" ht="12.75">
      <c r="D387" s="100"/>
    </row>
    <row r="388" ht="12.75">
      <c r="D388" s="100"/>
    </row>
    <row r="389" ht="12.75">
      <c r="D389" s="100"/>
    </row>
    <row r="390" ht="12.75">
      <c r="D390" s="100"/>
    </row>
    <row r="391" ht="12.75">
      <c r="D391" s="100"/>
    </row>
    <row r="392" ht="12.75">
      <c r="D392" s="100"/>
    </row>
    <row r="393" ht="12.75">
      <c r="D393" s="100"/>
    </row>
    <row r="394" ht="12.75">
      <c r="D394" s="100"/>
    </row>
    <row r="395" ht="12.75">
      <c r="D395" s="100"/>
    </row>
    <row r="396" ht="12.75">
      <c r="D396" s="100"/>
    </row>
    <row r="397" ht="12.75">
      <c r="D397" s="100"/>
    </row>
    <row r="398" ht="12.75">
      <c r="D398" s="100"/>
    </row>
    <row r="399" ht="12.75">
      <c r="D399" s="100"/>
    </row>
    <row r="400" ht="12.75">
      <c r="D400" s="100"/>
    </row>
    <row r="401" ht="12.75">
      <c r="D401" s="100"/>
    </row>
    <row r="402" ht="12.75">
      <c r="D402" s="100"/>
    </row>
    <row r="403" ht="12.75">
      <c r="D403" s="100"/>
    </row>
    <row r="404" ht="12.75">
      <c r="D404" s="100"/>
    </row>
    <row r="405" ht="12.75">
      <c r="D405" s="100"/>
    </row>
    <row r="406" ht="12.75">
      <c r="D406" s="100"/>
    </row>
    <row r="407" ht="12.75">
      <c r="D407" s="100"/>
    </row>
    <row r="408" ht="12.75">
      <c r="D408" s="100"/>
    </row>
    <row r="409" ht="12.75">
      <c r="D409" s="100"/>
    </row>
    <row r="410" ht="12.75">
      <c r="D410" s="100"/>
    </row>
    <row r="411" ht="12.75">
      <c r="D411" s="100"/>
    </row>
    <row r="412" ht="12.75">
      <c r="D412" s="100"/>
    </row>
    <row r="413" ht="12.75">
      <c r="D413" s="100"/>
    </row>
    <row r="414" ht="12.75">
      <c r="D414" s="100"/>
    </row>
    <row r="415" ht="12.75">
      <c r="D415" s="100"/>
    </row>
    <row r="416" ht="12.75">
      <c r="D416" s="100"/>
    </row>
    <row r="417" ht="12.75">
      <c r="D417" s="100"/>
    </row>
    <row r="418" ht="12.75">
      <c r="D418" s="100"/>
    </row>
    <row r="419" ht="12.75">
      <c r="D419" s="100"/>
    </row>
    <row r="420" ht="12.75">
      <c r="D420" s="100"/>
    </row>
    <row r="421" ht="12.75">
      <c r="D421" s="100"/>
    </row>
    <row r="422" ht="12.75">
      <c r="D422" s="100"/>
    </row>
    <row r="423" ht="12.75">
      <c r="D423" s="100"/>
    </row>
    <row r="424" ht="12.75">
      <c r="D424" s="100"/>
    </row>
    <row r="425" ht="12.75">
      <c r="D425" s="100"/>
    </row>
    <row r="426" ht="12.75">
      <c r="D426" s="100"/>
    </row>
    <row r="427" ht="12.75">
      <c r="D427" s="100"/>
    </row>
    <row r="428" ht="12.75">
      <c r="D428" s="100"/>
    </row>
    <row r="429" ht="12.75">
      <c r="D429" s="100"/>
    </row>
    <row r="430" ht="12.75">
      <c r="D430" s="100"/>
    </row>
    <row r="431" ht="12.75">
      <c r="D431" s="100"/>
    </row>
    <row r="432" ht="12.75">
      <c r="D432" s="100"/>
    </row>
    <row r="433" ht="12.75">
      <c r="D433" s="100"/>
    </row>
    <row r="434" ht="12.75">
      <c r="D434" s="100"/>
    </row>
    <row r="435" ht="12.75">
      <c r="D435" s="100"/>
    </row>
    <row r="436" ht="12.75">
      <c r="D436" s="100"/>
    </row>
    <row r="437" ht="12.75">
      <c r="D437" s="100"/>
    </row>
    <row r="438" ht="12.75">
      <c r="D438" s="100"/>
    </row>
    <row r="439" ht="12.75">
      <c r="D439" s="100"/>
    </row>
    <row r="440" ht="12.75">
      <c r="D440" s="100"/>
    </row>
    <row r="441" ht="12.75">
      <c r="D441" s="100"/>
    </row>
    <row r="442" ht="12.75">
      <c r="D442" s="100"/>
    </row>
    <row r="443" ht="12.75">
      <c r="D443" s="100"/>
    </row>
    <row r="444" ht="12.75">
      <c r="D444" s="100"/>
    </row>
    <row r="445" ht="12.75">
      <c r="D445" s="100"/>
    </row>
    <row r="446" ht="12.75">
      <c r="D446" s="100"/>
    </row>
    <row r="447" ht="12.75">
      <c r="D447" s="100"/>
    </row>
    <row r="448" ht="12.75">
      <c r="D448" s="100"/>
    </row>
    <row r="449" ht="12.75">
      <c r="D449" s="100"/>
    </row>
    <row r="450" ht="12.75">
      <c r="D450" s="100"/>
    </row>
    <row r="451" ht="12.75">
      <c r="D451" s="100"/>
    </row>
    <row r="452" ht="12.75">
      <c r="D452" s="100"/>
    </row>
    <row r="453" ht="12.75">
      <c r="D453" s="100"/>
    </row>
    <row r="454" ht="12.75">
      <c r="D454" s="100"/>
    </row>
    <row r="455" ht="12.75">
      <c r="D455" s="100"/>
    </row>
    <row r="456" ht="12.75">
      <c r="D456" s="100"/>
    </row>
    <row r="457" ht="12.75">
      <c r="D457" s="100"/>
    </row>
    <row r="458" ht="12.75">
      <c r="D458" s="100"/>
    </row>
    <row r="459" ht="12.75">
      <c r="D459" s="100"/>
    </row>
    <row r="460" ht="12.75">
      <c r="D460" s="100"/>
    </row>
    <row r="461" ht="12.75">
      <c r="D461" s="100"/>
    </row>
    <row r="462" ht="12.75">
      <c r="D462" s="100"/>
    </row>
    <row r="463" ht="12.75">
      <c r="D463" s="100"/>
    </row>
    <row r="464" ht="12.75">
      <c r="D464" s="100"/>
    </row>
    <row r="465" ht="12.75">
      <c r="D465" s="100"/>
    </row>
    <row r="466" ht="12.75">
      <c r="D466" s="100"/>
    </row>
    <row r="467" ht="12.75">
      <c r="D467" s="100"/>
    </row>
    <row r="468" ht="12.75">
      <c r="D468" s="100"/>
    </row>
    <row r="469" ht="12.75">
      <c r="D469" s="100"/>
    </row>
    <row r="470" ht="12.75">
      <c r="D470" s="100"/>
    </row>
    <row r="471" ht="12.75">
      <c r="D471" s="100"/>
    </row>
    <row r="472" ht="12.75">
      <c r="D472" s="100"/>
    </row>
    <row r="473" ht="12.75">
      <c r="D473" s="100"/>
    </row>
    <row r="474" ht="12.75">
      <c r="D474" s="100"/>
    </row>
    <row r="475" ht="12.75">
      <c r="D475" s="100"/>
    </row>
    <row r="476" ht="12.75">
      <c r="D476" s="100"/>
    </row>
    <row r="477" ht="12.75">
      <c r="D477" s="100"/>
    </row>
    <row r="478" ht="12.75">
      <c r="D478" s="100"/>
    </row>
    <row r="479" ht="12.75">
      <c r="D479" s="100"/>
    </row>
    <row r="480" ht="12.75">
      <c r="D480" s="100"/>
    </row>
    <row r="481" ht="12.75">
      <c r="D481" s="100"/>
    </row>
    <row r="482" ht="12.75">
      <c r="D482" s="100"/>
    </row>
    <row r="483" ht="12.75">
      <c r="D483" s="100"/>
    </row>
    <row r="484" ht="12.75">
      <c r="D484" s="100"/>
    </row>
    <row r="485" ht="12.75">
      <c r="D485" s="100"/>
    </row>
    <row r="486" ht="12.75">
      <c r="D486" s="100"/>
    </row>
    <row r="487" ht="12.75">
      <c r="D487" s="100"/>
    </row>
    <row r="488" ht="12.75">
      <c r="D488" s="100"/>
    </row>
    <row r="489" ht="12.75">
      <c r="D489" s="100"/>
    </row>
    <row r="490" ht="12.75">
      <c r="D490" s="100"/>
    </row>
    <row r="491" ht="12.75">
      <c r="D491" s="100"/>
    </row>
    <row r="492" ht="12.75">
      <c r="D492" s="100"/>
    </row>
    <row r="493" ht="12.75">
      <c r="D493" s="100"/>
    </row>
    <row r="494" ht="12.75">
      <c r="D494" s="100"/>
    </row>
    <row r="495" ht="12.75">
      <c r="D495" s="100"/>
    </row>
    <row r="496" ht="12.75">
      <c r="D496" s="100"/>
    </row>
    <row r="497" ht="12.75">
      <c r="D497" s="100"/>
    </row>
    <row r="498" ht="12.75">
      <c r="D498" s="100"/>
    </row>
    <row r="499" ht="12.75">
      <c r="D499" s="100"/>
    </row>
    <row r="500" ht="12.75">
      <c r="D500" s="100"/>
    </row>
    <row r="501" ht="12.75">
      <c r="D501" s="100"/>
    </row>
  </sheetData>
  <mergeCells count="51">
    <mergeCell ref="C35:C37"/>
    <mergeCell ref="A42:A45"/>
    <mergeCell ref="A46:A49"/>
    <mergeCell ref="C31:C33"/>
    <mergeCell ref="C39:C41"/>
    <mergeCell ref="A22:A25"/>
    <mergeCell ref="A30:A33"/>
    <mergeCell ref="C23:C25"/>
    <mergeCell ref="D26:D29"/>
    <mergeCell ref="B31:B33"/>
    <mergeCell ref="A26:A29"/>
    <mergeCell ref="C27:C29"/>
    <mergeCell ref="B27:B29"/>
    <mergeCell ref="D10:D13"/>
    <mergeCell ref="B15:B17"/>
    <mergeCell ref="B19:B21"/>
    <mergeCell ref="D18:D21"/>
    <mergeCell ref="A1:H1"/>
    <mergeCell ref="A2:H2"/>
    <mergeCell ref="A3:H3"/>
    <mergeCell ref="D4:D5"/>
    <mergeCell ref="H4:H5"/>
    <mergeCell ref="E4:G4"/>
    <mergeCell ref="A10:A13"/>
    <mergeCell ref="A14:A17"/>
    <mergeCell ref="A18:A21"/>
    <mergeCell ref="D30:D33"/>
    <mergeCell ref="B11:B13"/>
    <mergeCell ref="D22:D25"/>
    <mergeCell ref="B23:B25"/>
    <mergeCell ref="D14:D17"/>
    <mergeCell ref="C15:C17"/>
    <mergeCell ref="C11:C13"/>
    <mergeCell ref="A6:A9"/>
    <mergeCell ref="C6:C7"/>
    <mergeCell ref="C8:C9"/>
    <mergeCell ref="D6:D9"/>
    <mergeCell ref="A56:A59"/>
    <mergeCell ref="B57:B58"/>
    <mergeCell ref="C57:C59"/>
    <mergeCell ref="D56:D59"/>
    <mergeCell ref="B50:B54"/>
    <mergeCell ref="A50:A54"/>
    <mergeCell ref="B35:B37"/>
    <mergeCell ref="A55:H55"/>
    <mergeCell ref="D38:D41"/>
    <mergeCell ref="A38:A41"/>
    <mergeCell ref="D50:D54"/>
    <mergeCell ref="D34:D37"/>
    <mergeCell ref="C50:C54"/>
    <mergeCell ref="A34:A3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C5" sqref="C5"/>
    </sheetView>
  </sheetViews>
  <sheetFormatPr defaultColWidth="9.00390625" defaultRowHeight="12.75"/>
  <cols>
    <col min="1" max="1" width="10.375" style="0" customWidth="1"/>
    <col min="2" max="2" width="12.50390625" style="0" customWidth="1"/>
    <col min="3" max="3" width="45.50390625" style="0" customWidth="1"/>
    <col min="4" max="4" width="11.875" style="0" customWidth="1"/>
  </cols>
  <sheetData>
    <row r="1" spans="1:4" ht="12.75">
      <c r="A1" s="275" t="s">
        <v>246</v>
      </c>
      <c r="B1" s="275"/>
      <c r="C1" s="275"/>
      <c r="D1" s="275"/>
    </row>
    <row r="2" spans="1:4" ht="12.75">
      <c r="A2" s="275" t="s">
        <v>397</v>
      </c>
      <c r="B2" s="275"/>
      <c r="C2" s="275"/>
      <c r="D2" s="275"/>
    </row>
    <row r="3" spans="1:4" ht="12.75">
      <c r="A3" s="275" t="s">
        <v>345</v>
      </c>
      <c r="B3" s="275"/>
      <c r="C3" s="275"/>
      <c r="D3" s="275"/>
    </row>
    <row r="4" spans="1:4" ht="27.75" customHeight="1">
      <c r="A4" s="283" t="s">
        <v>346</v>
      </c>
      <c r="B4" s="283"/>
      <c r="C4" s="283"/>
      <c r="D4" s="283"/>
    </row>
    <row r="5" spans="1:4" ht="18" customHeight="1">
      <c r="A5" s="2" t="s">
        <v>13</v>
      </c>
      <c r="B5" s="59" t="s">
        <v>304</v>
      </c>
      <c r="C5" s="2" t="s">
        <v>347</v>
      </c>
      <c r="D5" s="229">
        <v>15000</v>
      </c>
    </row>
    <row r="6" spans="1:4" ht="18.75" customHeight="1">
      <c r="A6" s="71" t="s">
        <v>73</v>
      </c>
      <c r="B6" s="228" t="s">
        <v>307</v>
      </c>
      <c r="C6" s="71" t="s">
        <v>45</v>
      </c>
      <c r="D6" s="232">
        <v>15000</v>
      </c>
    </row>
    <row r="7" spans="1:4" ht="30.75" customHeight="1">
      <c r="A7" s="2"/>
      <c r="B7" s="59"/>
      <c r="C7" s="231" t="s">
        <v>348</v>
      </c>
      <c r="D7" s="229">
        <v>15000</v>
      </c>
    </row>
    <row r="8" spans="1:4" ht="12.75">
      <c r="A8" s="2" t="s">
        <v>349</v>
      </c>
      <c r="B8" s="59" t="s">
        <v>309</v>
      </c>
      <c r="C8" s="2" t="s">
        <v>350</v>
      </c>
      <c r="D8" s="229">
        <v>20000</v>
      </c>
    </row>
    <row r="9" spans="1:4" ht="12.75">
      <c r="A9" s="71" t="s">
        <v>73</v>
      </c>
      <c r="B9" s="228" t="s">
        <v>310</v>
      </c>
      <c r="C9" s="71" t="s">
        <v>48</v>
      </c>
      <c r="D9" s="232">
        <v>20000</v>
      </c>
    </row>
    <row r="10" spans="1:4" ht="31.5" customHeight="1">
      <c r="A10" s="2"/>
      <c r="B10" s="59"/>
      <c r="C10" s="231" t="s">
        <v>351</v>
      </c>
      <c r="D10" s="229">
        <v>5000</v>
      </c>
    </row>
    <row r="11" spans="1:4" ht="22.5">
      <c r="A11" s="2"/>
      <c r="B11" s="59"/>
      <c r="C11" s="231" t="s">
        <v>352</v>
      </c>
      <c r="D11" s="229">
        <v>5000</v>
      </c>
    </row>
    <row r="12" spans="1:4" ht="28.5" customHeight="1">
      <c r="A12" s="2"/>
      <c r="B12" s="59"/>
      <c r="C12" s="231" t="s">
        <v>353</v>
      </c>
      <c r="D12" s="229">
        <v>5000</v>
      </c>
    </row>
    <row r="13" spans="1:4" ht="30.75" customHeight="1">
      <c r="A13" s="2"/>
      <c r="B13" s="59"/>
      <c r="C13" s="231" t="s">
        <v>354</v>
      </c>
      <c r="D13" s="229">
        <v>5000</v>
      </c>
    </row>
    <row r="14" spans="1:4" ht="12.75">
      <c r="A14" s="2" t="s">
        <v>13</v>
      </c>
      <c r="B14" s="59" t="s">
        <v>311</v>
      </c>
      <c r="C14" s="2" t="s">
        <v>355</v>
      </c>
      <c r="D14" s="229">
        <v>70000</v>
      </c>
    </row>
    <row r="15" spans="1:4" ht="22.5" customHeight="1">
      <c r="A15" s="71" t="s">
        <v>356</v>
      </c>
      <c r="B15" s="228" t="s">
        <v>316</v>
      </c>
      <c r="C15" s="71" t="s">
        <v>25</v>
      </c>
      <c r="D15" s="232">
        <v>70000</v>
      </c>
    </row>
    <row r="16" spans="1:4" ht="31.5" customHeight="1">
      <c r="A16" s="2"/>
      <c r="B16" s="59"/>
      <c r="C16" s="231" t="s">
        <v>357</v>
      </c>
      <c r="D16" s="229">
        <v>50000</v>
      </c>
    </row>
    <row r="17" spans="1:4" ht="22.5">
      <c r="A17" s="2"/>
      <c r="B17" s="59"/>
      <c r="C17" s="231" t="s">
        <v>358</v>
      </c>
      <c r="D17" s="229">
        <v>10000</v>
      </c>
    </row>
    <row r="18" spans="1:4" ht="27.75" customHeight="1">
      <c r="A18" s="2"/>
      <c r="B18" s="59"/>
      <c r="C18" s="231" t="s">
        <v>359</v>
      </c>
      <c r="D18" s="229">
        <v>10000</v>
      </c>
    </row>
    <row r="19" spans="1:4" ht="17.25" customHeight="1">
      <c r="A19" s="2" t="s">
        <v>349</v>
      </c>
      <c r="B19" s="59" t="s">
        <v>327</v>
      </c>
      <c r="C19" s="2" t="s">
        <v>360</v>
      </c>
      <c r="D19" s="229">
        <v>10000</v>
      </c>
    </row>
    <row r="20" spans="1:4" ht="20.25" customHeight="1">
      <c r="A20" s="71" t="s">
        <v>73</v>
      </c>
      <c r="B20" s="228" t="s">
        <v>328</v>
      </c>
      <c r="C20" s="71" t="s">
        <v>192</v>
      </c>
      <c r="D20" s="232">
        <v>10000</v>
      </c>
    </row>
    <row r="21" spans="1:4" ht="22.5">
      <c r="A21" s="2"/>
      <c r="B21" s="59"/>
      <c r="C21" s="231" t="s">
        <v>361</v>
      </c>
      <c r="D21" s="229">
        <v>8000</v>
      </c>
    </row>
    <row r="22" spans="1:4" ht="17.25" customHeight="1">
      <c r="A22" s="2"/>
      <c r="B22" s="59"/>
      <c r="C22" s="231" t="s">
        <v>362</v>
      </c>
      <c r="D22" s="229">
        <v>2000</v>
      </c>
    </row>
    <row r="23" spans="1:4" ht="12.75">
      <c r="A23" t="s">
        <v>349</v>
      </c>
      <c r="B23" s="191">
        <v>926</v>
      </c>
      <c r="C23" s="231" t="s">
        <v>363</v>
      </c>
      <c r="D23" s="229">
        <v>45000</v>
      </c>
    </row>
    <row r="24" spans="1:4" ht="20.25" customHeight="1">
      <c r="A24" s="71" t="s">
        <v>73</v>
      </c>
      <c r="B24" s="233">
        <v>92605</v>
      </c>
      <c r="C24" s="234" t="s">
        <v>364</v>
      </c>
      <c r="D24" s="232">
        <v>45000</v>
      </c>
    </row>
    <row r="25" spans="3:4" ht="34.5" customHeight="1">
      <c r="C25" s="231" t="s">
        <v>365</v>
      </c>
      <c r="D25" s="229">
        <v>45000</v>
      </c>
    </row>
    <row r="26" ht="12.75">
      <c r="D26" s="229"/>
    </row>
    <row r="27" ht="12.75">
      <c r="D27" s="229"/>
    </row>
    <row r="28" ht="12.75">
      <c r="D28" s="229"/>
    </row>
    <row r="29" ht="12.75">
      <c r="D29" s="230"/>
    </row>
    <row r="30" ht="12.75">
      <c r="D30" s="230"/>
    </row>
    <row r="31" ht="12.75">
      <c r="D31" s="230"/>
    </row>
  </sheetData>
  <mergeCells count="4"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2" sqref="A2:C2"/>
    </sheetView>
  </sheetViews>
  <sheetFormatPr defaultColWidth="9.00390625" defaultRowHeight="12.75"/>
  <cols>
    <col min="1" max="1" width="11.375" style="0" customWidth="1"/>
    <col min="2" max="2" width="57.875" style="0" customWidth="1"/>
    <col min="3" max="3" width="13.625" style="0" customWidth="1"/>
  </cols>
  <sheetData>
    <row r="1" spans="1:3" ht="12.75">
      <c r="A1" s="341" t="s">
        <v>105</v>
      </c>
      <c r="B1" s="341"/>
      <c r="C1" s="341"/>
    </row>
    <row r="2" spans="1:3" ht="12.75">
      <c r="A2" s="341" t="s">
        <v>393</v>
      </c>
      <c r="B2" s="341"/>
      <c r="C2" s="341"/>
    </row>
    <row r="3" spans="1:3" ht="51.75" customHeight="1">
      <c r="A3" s="349" t="s">
        <v>344</v>
      </c>
      <c r="B3" s="349"/>
      <c r="C3" s="349"/>
    </row>
    <row r="4" spans="1:3" ht="12.75">
      <c r="A4" s="348" t="s">
        <v>87</v>
      </c>
      <c r="B4" s="348"/>
      <c r="C4" s="348"/>
    </row>
    <row r="5" spans="1:3" ht="21.75" customHeight="1">
      <c r="A5" s="35" t="s">
        <v>62</v>
      </c>
      <c r="B5" s="35" t="s">
        <v>0</v>
      </c>
      <c r="C5" s="35" t="s">
        <v>126</v>
      </c>
    </row>
    <row r="6" spans="1:3" ht="38.25" customHeight="1">
      <c r="A6" s="350">
        <v>952</v>
      </c>
      <c r="B6" s="43" t="s">
        <v>106</v>
      </c>
      <c r="C6" s="353">
        <f>C8+C9</f>
        <v>6200000</v>
      </c>
    </row>
    <row r="7" spans="1:3" ht="20.25" customHeight="1">
      <c r="A7" s="351"/>
      <c r="B7" s="43" t="s">
        <v>220</v>
      </c>
      <c r="C7" s="354"/>
    </row>
    <row r="8" spans="1:3" ht="20.25" customHeight="1">
      <c r="A8" s="351"/>
      <c r="B8" s="43" t="s">
        <v>218</v>
      </c>
      <c r="C8" s="120">
        <v>500000</v>
      </c>
    </row>
    <row r="9" spans="1:3" ht="20.25" customHeight="1">
      <c r="A9" s="352"/>
      <c r="B9" s="43" t="s">
        <v>219</v>
      </c>
      <c r="C9" s="120">
        <v>5700000</v>
      </c>
    </row>
    <row r="10" spans="1:3" ht="20.25" customHeight="1">
      <c r="A10" s="116"/>
      <c r="B10" s="117"/>
      <c r="C10" s="118"/>
    </row>
    <row r="11" spans="1:3" ht="33.75" customHeight="1">
      <c r="A11" s="348" t="s">
        <v>107</v>
      </c>
      <c r="B11" s="348"/>
      <c r="C11" s="348"/>
    </row>
    <row r="12" spans="1:3" ht="22.5" customHeight="1">
      <c r="A12" s="35" t="s">
        <v>62</v>
      </c>
      <c r="B12" s="35" t="s">
        <v>0</v>
      </c>
      <c r="C12" s="35" t="s">
        <v>126</v>
      </c>
    </row>
    <row r="13" spans="1:3" ht="26.25" customHeight="1">
      <c r="A13" s="355">
        <v>992</v>
      </c>
      <c r="B13" s="43" t="s">
        <v>108</v>
      </c>
      <c r="C13" s="353">
        <f>C15+C16+C17+C18+C19+C20</f>
        <v>6200000</v>
      </c>
    </row>
    <row r="14" spans="1:3" ht="12.75">
      <c r="A14" s="359"/>
      <c r="B14" s="121" t="s">
        <v>220</v>
      </c>
      <c r="C14" s="354"/>
    </row>
    <row r="15" spans="1:3" ht="23.25" customHeight="1">
      <c r="A15" s="359"/>
      <c r="B15" s="121" t="s">
        <v>221</v>
      </c>
      <c r="C15" s="122">
        <v>75442</v>
      </c>
    </row>
    <row r="16" spans="1:3" ht="24.75" customHeight="1">
      <c r="A16" s="359"/>
      <c r="B16" s="121" t="s">
        <v>222</v>
      </c>
      <c r="C16" s="122">
        <v>536000</v>
      </c>
    </row>
    <row r="17" spans="1:3" ht="23.25" customHeight="1">
      <c r="A17" s="359"/>
      <c r="B17" s="121" t="s">
        <v>224</v>
      </c>
      <c r="C17" s="122">
        <v>1000000</v>
      </c>
    </row>
    <row r="18" spans="1:3" ht="25.5" customHeight="1">
      <c r="A18" s="356"/>
      <c r="B18" s="121" t="s">
        <v>223</v>
      </c>
      <c r="C18" s="122">
        <v>145000</v>
      </c>
    </row>
    <row r="19" spans="1:3" ht="43.5" customHeight="1">
      <c r="A19" s="70">
        <v>963</v>
      </c>
      <c r="B19" s="235" t="s">
        <v>366</v>
      </c>
      <c r="C19" s="122">
        <v>845718</v>
      </c>
    </row>
    <row r="20" spans="1:3" ht="15.75" customHeight="1">
      <c r="A20" s="355">
        <v>995</v>
      </c>
      <c r="B20" s="236" t="s">
        <v>367</v>
      </c>
      <c r="C20" s="357">
        <v>3597840</v>
      </c>
    </row>
    <row r="21" spans="1:3" ht="12.75">
      <c r="A21" s="356"/>
      <c r="B21" s="4" t="s">
        <v>368</v>
      </c>
      <c r="C21" s="358"/>
    </row>
    <row r="22" spans="1:3" ht="12.75">
      <c r="A22" s="31"/>
      <c r="C22" s="119"/>
    </row>
    <row r="23" ht="12.75">
      <c r="C23" s="119"/>
    </row>
    <row r="24" ht="12.75">
      <c r="C24" s="119"/>
    </row>
    <row r="25" ht="12.75">
      <c r="C25" s="119"/>
    </row>
    <row r="26" ht="12.75">
      <c r="C26" s="119"/>
    </row>
    <row r="27" ht="12.75">
      <c r="C27" s="119"/>
    </row>
    <row r="28" ht="12.75">
      <c r="C28" s="119"/>
    </row>
    <row r="29" ht="12.75">
      <c r="C29" s="119"/>
    </row>
    <row r="30" ht="12.75">
      <c r="C30" s="119"/>
    </row>
    <row r="31" ht="12.75">
      <c r="C31" s="119"/>
    </row>
    <row r="32" ht="12.75">
      <c r="C32" s="119"/>
    </row>
    <row r="33" ht="12.75">
      <c r="C33" s="119"/>
    </row>
    <row r="34" ht="12.75">
      <c r="C34" s="119"/>
    </row>
    <row r="35" ht="12.75">
      <c r="C35" s="119"/>
    </row>
    <row r="36" ht="12.75">
      <c r="C36" s="119"/>
    </row>
    <row r="37" ht="12.75">
      <c r="C37" s="119"/>
    </row>
    <row r="38" ht="12.75">
      <c r="C38" s="119"/>
    </row>
    <row r="39" ht="12.75">
      <c r="C39" s="119"/>
    </row>
    <row r="40" ht="12.75">
      <c r="C40" s="119"/>
    </row>
    <row r="41" ht="12.75">
      <c r="C41" s="119"/>
    </row>
    <row r="42" ht="12.75">
      <c r="C42" s="119"/>
    </row>
    <row r="43" ht="12.75">
      <c r="C43" s="119"/>
    </row>
    <row r="44" ht="12.75">
      <c r="C44" s="119"/>
    </row>
    <row r="45" ht="12.75">
      <c r="C45" s="119"/>
    </row>
    <row r="46" ht="12.75">
      <c r="C46" s="119"/>
    </row>
    <row r="47" ht="12.75">
      <c r="C47" s="119"/>
    </row>
    <row r="48" ht="12.75">
      <c r="C48" s="119"/>
    </row>
    <row r="49" ht="12.75">
      <c r="C49" s="119"/>
    </row>
    <row r="50" ht="12.75">
      <c r="C50" s="119"/>
    </row>
    <row r="51" ht="12.75">
      <c r="C51" s="119"/>
    </row>
    <row r="52" ht="12.75">
      <c r="C52" s="119"/>
    </row>
    <row r="53" ht="12.75">
      <c r="C53" s="119"/>
    </row>
    <row r="54" ht="12.75">
      <c r="C54" s="119"/>
    </row>
    <row r="55" ht="12.75">
      <c r="C55" s="119"/>
    </row>
    <row r="56" ht="12.75">
      <c r="C56" s="119"/>
    </row>
    <row r="57" ht="12.75">
      <c r="C57" s="119"/>
    </row>
    <row r="58" ht="12.75">
      <c r="C58" s="119"/>
    </row>
    <row r="59" ht="12.75">
      <c r="C59" s="119"/>
    </row>
    <row r="60" ht="12.75">
      <c r="C60" s="119"/>
    </row>
  </sheetData>
  <mergeCells count="11">
    <mergeCell ref="A20:A21"/>
    <mergeCell ref="C20:C21"/>
    <mergeCell ref="A13:A18"/>
    <mergeCell ref="C13:C14"/>
    <mergeCell ref="A11:C11"/>
    <mergeCell ref="A1:C1"/>
    <mergeCell ref="A2:C2"/>
    <mergeCell ref="A3:C3"/>
    <mergeCell ref="A4:C4"/>
    <mergeCell ref="A6:A9"/>
    <mergeCell ref="C6:C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E4" sqref="E4"/>
    </sheetView>
  </sheetViews>
  <sheetFormatPr defaultColWidth="9.00390625" defaultRowHeight="12.75"/>
  <cols>
    <col min="1" max="1" width="11.50390625" style="0" customWidth="1"/>
    <col min="2" max="2" width="59.50390625" style="0" customWidth="1"/>
    <col min="3" max="3" width="12.625" style="0" customWidth="1"/>
  </cols>
  <sheetData>
    <row r="1" spans="1:3" ht="12.75">
      <c r="A1" s="360" t="s">
        <v>104</v>
      </c>
      <c r="B1" s="360"/>
      <c r="C1" s="360"/>
    </row>
    <row r="2" spans="1:3" ht="23.25" customHeight="1">
      <c r="A2" s="360" t="s">
        <v>395</v>
      </c>
      <c r="B2" s="360"/>
      <c r="C2" s="360"/>
    </row>
    <row r="3" spans="1:3" ht="29.25" customHeight="1">
      <c r="A3" s="276" t="s">
        <v>215</v>
      </c>
      <c r="B3" s="276"/>
      <c r="C3" s="276"/>
    </row>
    <row r="4" spans="1:3" ht="24" customHeight="1">
      <c r="A4" s="70">
        <v>400</v>
      </c>
      <c r="B4" s="71" t="s">
        <v>169</v>
      </c>
      <c r="C4" s="72">
        <f>C5+C6</f>
        <v>455000</v>
      </c>
    </row>
    <row r="5" spans="1:3" ht="32.25" customHeight="1">
      <c r="A5" s="31"/>
      <c r="B5" s="78" t="s">
        <v>170</v>
      </c>
      <c r="C5" s="30">
        <v>355000</v>
      </c>
    </row>
    <row r="6" spans="1:3" ht="32.25" customHeight="1">
      <c r="A6" s="31"/>
      <c r="B6" s="78" t="s">
        <v>337</v>
      </c>
      <c r="C6" s="30">
        <v>100000</v>
      </c>
    </row>
    <row r="7" spans="1:3" ht="26.25" customHeight="1">
      <c r="A7" s="70">
        <v>750</v>
      </c>
      <c r="B7" s="71" t="s">
        <v>2</v>
      </c>
      <c r="C7" s="72">
        <f>C8</f>
        <v>154000</v>
      </c>
    </row>
    <row r="8" spans="1:3" ht="29.25" customHeight="1">
      <c r="A8" s="31"/>
      <c r="B8" s="2" t="s">
        <v>171</v>
      </c>
      <c r="C8" s="30">
        <v>154000</v>
      </c>
    </row>
    <row r="9" spans="1:3" ht="28.5" customHeight="1">
      <c r="A9" s="70">
        <v>900</v>
      </c>
      <c r="B9" s="71" t="s">
        <v>172</v>
      </c>
      <c r="C9" s="72">
        <f>C10+C11+C12</f>
        <v>400000</v>
      </c>
    </row>
    <row r="10" spans="1:3" ht="28.5" customHeight="1">
      <c r="A10" s="31"/>
      <c r="B10" s="78" t="s">
        <v>173</v>
      </c>
      <c r="C10" s="30">
        <v>150000</v>
      </c>
    </row>
    <row r="11" spans="1:3" ht="29.25" customHeight="1">
      <c r="A11" s="31"/>
      <c r="B11" s="78" t="s">
        <v>336</v>
      </c>
      <c r="C11" s="30">
        <v>100000</v>
      </c>
    </row>
    <row r="12" spans="1:3" ht="28.5" customHeight="1">
      <c r="A12" s="31"/>
      <c r="B12" s="78" t="s">
        <v>122</v>
      </c>
      <c r="C12" s="30">
        <v>150000</v>
      </c>
    </row>
    <row r="13" spans="1:3" ht="24.75" customHeight="1">
      <c r="A13" s="70">
        <v>926</v>
      </c>
      <c r="B13" s="71" t="s">
        <v>9</v>
      </c>
      <c r="C13" s="72">
        <f>C14+C15</f>
        <v>5506300</v>
      </c>
    </row>
    <row r="14" spans="1:3" ht="31.5" customHeight="1">
      <c r="A14" s="70"/>
      <c r="B14" s="115" t="s">
        <v>216</v>
      </c>
      <c r="C14" s="74">
        <v>5393800</v>
      </c>
    </row>
    <row r="15" spans="1:3" ht="24" customHeight="1">
      <c r="A15" s="31"/>
      <c r="B15" s="78" t="s">
        <v>217</v>
      </c>
      <c r="C15" s="30">
        <v>112500</v>
      </c>
    </row>
    <row r="16" spans="1:4" ht="29.25" customHeight="1">
      <c r="A16" s="31"/>
      <c r="B16" s="75" t="s">
        <v>92</v>
      </c>
      <c r="C16" s="76">
        <f>C13+C9+C7+C4</f>
        <v>6515300</v>
      </c>
      <c r="D16" s="1"/>
    </row>
    <row r="17" ht="20.25" customHeight="1"/>
  </sheetData>
  <mergeCells count="3">
    <mergeCell ref="A1:C1"/>
    <mergeCell ref="A2:C2"/>
    <mergeCell ref="A3:C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selection activeCell="A2" sqref="A2:C2"/>
    </sheetView>
  </sheetViews>
  <sheetFormatPr defaultColWidth="9.00390625" defaultRowHeight="12.75"/>
  <cols>
    <col min="2" max="2" width="60.50390625" style="0" customWidth="1"/>
    <col min="3" max="3" width="12.625" style="0" customWidth="1"/>
  </cols>
  <sheetData>
    <row r="1" spans="1:3" ht="14.25" customHeight="1">
      <c r="A1" s="361" t="s">
        <v>245</v>
      </c>
      <c r="B1" s="361"/>
      <c r="C1" s="361"/>
    </row>
    <row r="2" spans="1:3" ht="16.5" customHeight="1">
      <c r="A2" s="361" t="s">
        <v>396</v>
      </c>
      <c r="B2" s="361"/>
      <c r="C2" s="361"/>
    </row>
    <row r="3" spans="1:3" ht="30.75" customHeight="1">
      <c r="A3" s="308" t="s">
        <v>244</v>
      </c>
      <c r="B3" s="308"/>
      <c r="C3" s="308"/>
    </row>
    <row r="4" spans="1:3" ht="20.25" customHeight="1">
      <c r="A4" s="26" t="s">
        <v>83</v>
      </c>
      <c r="B4" s="36" t="s">
        <v>0</v>
      </c>
      <c r="C4" s="35" t="s">
        <v>12</v>
      </c>
    </row>
    <row r="5" spans="1:3" ht="17.25" customHeight="1">
      <c r="A5" s="26" t="s">
        <v>86</v>
      </c>
      <c r="B5" s="39" t="s">
        <v>84</v>
      </c>
      <c r="C5" s="9">
        <v>32000</v>
      </c>
    </row>
    <row r="6" spans="1:3" ht="18" customHeight="1">
      <c r="A6" s="37" t="s">
        <v>85</v>
      </c>
      <c r="B6" s="40" t="s">
        <v>87</v>
      </c>
      <c r="C6" s="14">
        <f>C7+C8</f>
        <v>40000</v>
      </c>
    </row>
    <row r="7" spans="1:3" ht="30.75" customHeight="1">
      <c r="A7" s="38" t="s">
        <v>88</v>
      </c>
      <c r="B7" s="3" t="s">
        <v>131</v>
      </c>
      <c r="C7" s="10">
        <v>35000</v>
      </c>
    </row>
    <row r="8" spans="1:3" ht="19.5" customHeight="1">
      <c r="A8" s="38" t="s">
        <v>89</v>
      </c>
      <c r="B8" s="3" t="s">
        <v>90</v>
      </c>
      <c r="C8" s="10">
        <v>5000</v>
      </c>
    </row>
    <row r="9" spans="1:3" ht="18.75" customHeight="1">
      <c r="A9" s="27"/>
      <c r="B9" s="4" t="s">
        <v>92</v>
      </c>
      <c r="C9" s="11">
        <f>C5+C6</f>
        <v>72000</v>
      </c>
    </row>
    <row r="10" spans="1:3" ht="17.25" customHeight="1">
      <c r="A10" s="41" t="s">
        <v>93</v>
      </c>
      <c r="B10" s="15" t="s">
        <v>14</v>
      </c>
      <c r="C10" s="42">
        <v>70000</v>
      </c>
    </row>
    <row r="11" spans="1:3" ht="27" customHeight="1">
      <c r="A11" s="38" t="s">
        <v>88</v>
      </c>
      <c r="B11" s="3" t="s">
        <v>94</v>
      </c>
      <c r="C11" s="10">
        <v>5000</v>
      </c>
    </row>
    <row r="12" spans="1:3" ht="17.25" customHeight="1">
      <c r="A12" s="38" t="s">
        <v>89</v>
      </c>
      <c r="B12" s="3" t="s">
        <v>95</v>
      </c>
      <c r="C12" s="10">
        <v>3000</v>
      </c>
    </row>
    <row r="13" spans="1:3" ht="26.25">
      <c r="A13" s="38" t="s">
        <v>91</v>
      </c>
      <c r="B13" s="3" t="s">
        <v>96</v>
      </c>
      <c r="C13" s="10">
        <v>35000</v>
      </c>
    </row>
    <row r="14" spans="1:3" ht="18" customHeight="1">
      <c r="A14" s="38" t="s">
        <v>97</v>
      </c>
      <c r="B14" s="3" t="s">
        <v>98</v>
      </c>
      <c r="C14" s="10">
        <v>10000</v>
      </c>
    </row>
    <row r="15" spans="1:3" ht="17.25" customHeight="1">
      <c r="A15" s="38" t="s">
        <v>99</v>
      </c>
      <c r="B15" s="3" t="s">
        <v>100</v>
      </c>
      <c r="C15" s="10">
        <v>17000</v>
      </c>
    </row>
    <row r="16" spans="1:3" ht="15.75" customHeight="1">
      <c r="A16" s="38" t="s">
        <v>101</v>
      </c>
      <c r="B16" s="3" t="s">
        <v>102</v>
      </c>
      <c r="C16" s="10">
        <v>2000</v>
      </c>
    </row>
    <row r="17" spans="1:3" ht="12.75">
      <c r="A17" s="27"/>
      <c r="B17" s="4" t="s">
        <v>92</v>
      </c>
      <c r="C17" s="11">
        <f>C10+C16</f>
        <v>72000</v>
      </c>
    </row>
    <row r="18" spans="1:3" ht="12.75">
      <c r="A18" s="31"/>
      <c r="B18" s="2"/>
      <c r="C18" s="30"/>
    </row>
    <row r="19" spans="1:3" ht="12.75">
      <c r="A19" s="31"/>
      <c r="B19" s="2"/>
      <c r="C19" s="30"/>
    </row>
    <row r="20" spans="1:3" ht="12.75">
      <c r="A20" s="31"/>
      <c r="B20" s="2"/>
      <c r="C20" s="30"/>
    </row>
    <row r="21" spans="1:3" ht="12.75">
      <c r="A21" s="31"/>
      <c r="B21" s="2"/>
      <c r="C21" s="30"/>
    </row>
    <row r="22" spans="1:3" ht="12.75">
      <c r="A22" s="31"/>
      <c r="B22" s="2"/>
      <c r="C22" s="30"/>
    </row>
    <row r="23" spans="1:3" ht="12.75">
      <c r="A23" s="31"/>
      <c r="B23" s="2"/>
      <c r="C23" s="30"/>
    </row>
    <row r="24" spans="1:3" ht="12.75">
      <c r="A24" s="31"/>
      <c r="B24" s="2"/>
      <c r="C24" s="30"/>
    </row>
    <row r="25" spans="1:3" ht="12.75">
      <c r="A25" s="31"/>
      <c r="B25" s="2"/>
      <c r="C25" s="30"/>
    </row>
    <row r="26" spans="1:3" ht="12.75">
      <c r="A26" s="31"/>
      <c r="B26" s="2"/>
      <c r="C26" s="30"/>
    </row>
    <row r="27" spans="1:3" ht="12.75">
      <c r="A27" s="31"/>
      <c r="B27" s="2"/>
      <c r="C27" s="30"/>
    </row>
    <row r="28" spans="1:3" ht="12.75">
      <c r="A28" s="31"/>
      <c r="B28" s="2"/>
      <c r="C28" s="30"/>
    </row>
    <row r="29" spans="1:3" ht="12.75">
      <c r="A29" s="31"/>
      <c r="B29" s="2"/>
      <c r="C29" s="30"/>
    </row>
    <row r="30" spans="1:3" ht="12.75">
      <c r="A30" s="31"/>
      <c r="B30" s="2"/>
      <c r="C30" s="30"/>
    </row>
    <row r="31" spans="1:3" ht="12.75">
      <c r="A31" s="29"/>
      <c r="B31" s="2"/>
      <c r="C31" s="30"/>
    </row>
    <row r="32" spans="1:3" ht="12.75">
      <c r="A32" s="29"/>
      <c r="B32" s="2"/>
      <c r="C32" s="30"/>
    </row>
    <row r="33" spans="1:3" ht="12.75">
      <c r="A33" s="29"/>
      <c r="B33" s="2"/>
      <c r="C33" s="30"/>
    </row>
    <row r="34" spans="1:3" ht="12.75">
      <c r="A34" s="29"/>
      <c r="B34" s="2"/>
      <c r="C34" s="30"/>
    </row>
    <row r="35" spans="1:3" ht="12.75">
      <c r="A35" s="29"/>
      <c r="B35" s="2"/>
      <c r="C35" s="30"/>
    </row>
    <row r="36" spans="1:3" ht="12.75">
      <c r="A36" s="29"/>
      <c r="B36" s="2"/>
      <c r="C36" s="30"/>
    </row>
    <row r="37" spans="1:3" ht="12.75">
      <c r="A37" s="29"/>
      <c r="B37" s="2"/>
      <c r="C37" s="30"/>
    </row>
    <row r="38" spans="1:3" ht="12.75">
      <c r="A38" s="29"/>
      <c r="B38" s="2"/>
      <c r="C38" s="30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</sheetData>
  <mergeCells count="3">
    <mergeCell ref="A1:C1"/>
    <mergeCell ref="A2:C2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 w Łańcucie</cp:lastModifiedBy>
  <cp:lastPrinted>2006-01-02T12:31:52Z</cp:lastPrinted>
  <dcterms:created xsi:type="dcterms:W3CDTF">1997-02-26T13:46:56Z</dcterms:created>
  <dcterms:modified xsi:type="dcterms:W3CDTF">2005-12-27T18:07:57Z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