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49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<sst xmlns="http://schemas.openxmlformats.org/spreadsheetml/2006/main" count="302" uniqueCount="177">
  <si>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</si>
  <si>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</si>
  <si>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</si>
  <si>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</si>
  <si>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</si>
  <si>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</si>
  <si>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</si>
  <si>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</si>
  <si>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</si>
  <si>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</si>
  <si>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</si>
  <si>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Dział</t>
  </si>
  <si>
    <t>a) wydatki bieżące, w tym:</t>
  </si>
  <si>
    <t>- wynagrodzenia i pochodne od wynagrodzeń</t>
  </si>
  <si>
    <t>a) wydatki bieżące</t>
  </si>
  <si>
    <t>Ośrodki pomocy społecznej</t>
  </si>
  <si>
    <t>a) wydatki majątkowe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</si>
  <si>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</si>
  <si>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</si>
  <si>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</si>
  <si>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</si>
  <si>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</si>
  <si>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</si>
  <si>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</si>
  <si>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</si>
  <si>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Urzędy Wojewódzkie</t>
  </si>
  <si>
    <t>Rady gmin</t>
  </si>
  <si>
    <t>Urzędy gmin</t>
  </si>
  <si>
    <t>Ochotnicze straże pożarne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</si>
  <si>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</si>
  <si>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</si>
  <si>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</si>
  <si>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</si>
  <si>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</si>
  <si>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</si>
  <si>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</si>
  <si>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</si>
  <si>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Dokształcanie i doskonalenie zawodowe nauczycieli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</si>
  <si>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</si>
  <si>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</si>
  <si>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</si>
  <si>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</si>
  <si>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</si>
  <si>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</si>
  <si>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</si>
  <si>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</si>
  <si>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</si>
  <si>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</si>
  <si>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</si>
  <si>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</si>
  <si>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</si>
  <si>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</si>
  <si>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Klasyfikacja</t>
  </si>
  <si>
    <t>010</t>
  </si>
  <si>
    <t>01030</t>
  </si>
  <si>
    <t>01095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</si>
  <si>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</si>
  <si>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</si>
  <si>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</si>
  <si>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</si>
  <si>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- rezerwa ogólna</t>
  </si>
  <si>
    <t>80104</t>
  </si>
  <si>
    <t>75647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</si>
  <si>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</si>
  <si>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</si>
  <si>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>dotacje celowe otrzymane z budżetu państwa na realizację zadań bieżących z zakresu administracji rządowej oraz innych zadań zleconych gminie ustawami</t>
  </si>
  <si>
    <t>dotacje celowe otrzymane z budżetu państwa na inwestycje i zakupy inwestycyjne z zakresu administracji rządowej oraz innych zadań zleconych gminie ustawami</t>
  </si>
  <si>
    <t>podatek od działalności gospodarczej osób fizycznych, opłacany w formie karty podatkowej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</si>
  <si>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</si>
  <si>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</si>
  <si>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</si>
  <si>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</si>
  <si>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</si>
  <si>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 xml:space="preserve">wpływy z opłaty administracyjnej za czynności urzędowe </t>
  </si>
  <si>
    <t>podatek od czynności cywilnoprawnych</t>
  </si>
  <si>
    <t>wpływy z opłaty skarbowej</t>
  </si>
  <si>
    <t>wpływy z opłat za zezwolenia na sprzedaż alkoholu</t>
  </si>
  <si>
    <t>udziały we wpływach z podatku dochodowego od osób fizycznych</t>
  </si>
  <si>
    <t>udziały we wpływach z podatku dochodowego od osób prawnych</t>
  </si>
  <si>
    <t>dotacje celowe otrzymane z budżetu państwa na realizację własnych zadań bieżących gmin</t>
  </si>
  <si>
    <t>środki na dofinansowanie własnych inwestycji gmin, powiatów, samorządów województw pozyskane z innych źródeł</t>
  </si>
  <si>
    <t>wpływy z odpłatności za żywienie uczniów w szkołach</t>
  </si>
  <si>
    <t>wpływy z odpłatności za usługi opiekuńcze</t>
  </si>
  <si>
    <t>wpływy z odpłatności za żywienie uczniów w przedszkolach</t>
  </si>
  <si>
    <t>400</t>
  </si>
  <si>
    <t>40002</t>
  </si>
  <si>
    <t>Dostarczanie wody</t>
  </si>
  <si>
    <t>80145</t>
  </si>
  <si>
    <t>Komisje egzaminacyjne</t>
  </si>
  <si>
    <t>85212</t>
  </si>
  <si>
    <t>854</t>
  </si>
  <si>
    <t>Pozostałe zadania w zakresie kultury</t>
  </si>
  <si>
    <t>853</t>
  </si>
  <si>
    <t>POZOSTAŁE ZADANIA W ZAKRESIE POLITYKI SPOŁECZNEJ</t>
  </si>
  <si>
    <t>85395</t>
  </si>
  <si>
    <t>wpływy z opłat za zajęcie pasa drogowego</t>
  </si>
  <si>
    <t xml:space="preserve">5% dochodów uzyskiwanych na rzecz budżetu państwa w związku z realizacją zadań z zakresu administracji rządowej </t>
  </si>
  <si>
    <t>wpłaty zaległości zahipotekowanych</t>
  </si>
  <si>
    <t>85415</t>
  </si>
  <si>
    <t>80195</t>
  </si>
  <si>
    <t>Składki na ubezpieczenie zdrowotne opłacane za osoby pobierające niektóre świadczenia z pomocy społecznej oraz niektóre świadczenia rodzinne</t>
  </si>
  <si>
    <t>85228</t>
  </si>
  <si>
    <t>Zasiłki i pomoc w naturze oraz składki na ubezpieczenia emerytalne i rentowe</t>
  </si>
  <si>
    <t>wpływy z opłat za zarząd, użytkowanie i użytkowanie wieczyste nieruchomości</t>
  </si>
  <si>
    <t xml:space="preserve">dotacje celowe otrzymane z budżetu państwa na realizację własnych zadań bieżących gmin </t>
  </si>
  <si>
    <t>75411</t>
  </si>
  <si>
    <t>Komendy Powiatowe Państwowej Straży Pożarnej</t>
  </si>
  <si>
    <t xml:space="preserve">Pomoc materialna dla uczniów </t>
  </si>
  <si>
    <t>- stypendia dla uczniów</t>
  </si>
  <si>
    <t>921</t>
  </si>
  <si>
    <t>dotacje na dofinansowanie kosztów utworzenia Gminnego Centrum Informacji realizowanego w ramach Programu Aktywizacji Zawodowej Absolwentów  "Pierwsza Praca"</t>
  </si>
  <si>
    <t xml:space="preserve">ROLNICTWO </t>
  </si>
  <si>
    <t>75107</t>
  </si>
  <si>
    <t>75108</t>
  </si>
  <si>
    <t>Wybory do Sejmu i Senatu</t>
  </si>
  <si>
    <t>90003</t>
  </si>
  <si>
    <t>WYTWARZANIE I ZAOPATRYWANIE W ENERGIĘ ELEKTRYCZNĄ, GAZ I WODĘ</t>
  </si>
  <si>
    <t>710</t>
  </si>
  <si>
    <t>dotacje celowe otrzymane z budżetu państwa na zadania bieżące realizowane przez gminę na podstawie porozumień z organami administracji rządowej</t>
  </si>
  <si>
    <t xml:space="preserve">dotacje celowe otrzymane z budżetu państwa na realizację inwestycji i zakupów inwestycyjnych własnych gmin </t>
  </si>
  <si>
    <t xml:space="preserve">dotacje otrzymane z funduszy celowych na realizację zadań bieżących jednostek sektora finansów publicznych </t>
  </si>
  <si>
    <t xml:space="preserve">Wybory Prezydenta Rzeczypospolitej Polskiej </t>
  </si>
  <si>
    <t>odsetki od środków na rachunku bankowym budżetu</t>
  </si>
  <si>
    <t>rozliczenia z lat ubiegłych</t>
  </si>
  <si>
    <t>wpływy do budżetu nadwyżki środków obrotowych przekazanych przez zakłady budżetowe</t>
  </si>
  <si>
    <t>DZIAŁALNOŚC USŁUGOWA</t>
  </si>
  <si>
    <t>Wykonanie 2005r.</t>
  </si>
  <si>
    <t>Plan po zmianach 2006r.</t>
  </si>
  <si>
    <t>Wykonanie I kwartał 2006r.</t>
  </si>
  <si>
    <t>odsetki od nieterminowych wpłat z tytułu podatków i opłat</t>
  </si>
  <si>
    <t>DOCHODY BUDŻETOWE ZA I KWARTAŁ 2006 R</t>
  </si>
  <si>
    <t>WYDATKI BUDŻETOWE ZA I KWARTAŁ 2006 R</t>
  </si>
  <si>
    <t>75075</t>
  </si>
  <si>
    <t>Promocja jednostek samorządu terytorialnego</t>
  </si>
  <si>
    <t>75405</t>
  </si>
  <si>
    <t>Komendy Powiatowe Policji</t>
  </si>
  <si>
    <t>- rezerwa celowa</t>
  </si>
  <si>
    <t xml:space="preserve">Usługi opiekuńcze i specjalistyczne usługi opiekuńcze </t>
  </si>
  <si>
    <t>- zwrot dotacji wykorzystanych niezgodnie z przeznaczeniem lub pobranych w nadmiernej wysokości</t>
  </si>
  <si>
    <t>0</t>
  </si>
  <si>
    <t xml:space="preserve">                       WYDATKI OGÓŁEM</t>
  </si>
  <si>
    <t xml:space="preserve">                DOCHODY OGÓŁEM</t>
  </si>
  <si>
    <t>dotacja z Państwowego Funduszu Rehabilitacji Osób Niepełnosprawnych na zrekompensowanie utraconych przez gminę dochodów na skutek zwolnień ustawowych z podatków lokalnych</t>
  </si>
  <si>
    <t>DOCHODY OD OSÓB PRAWNYCH, OD OSÓB FIZYCZNYCH I OD INNYCH JEDNOSTEK NIE POSIADAJĄCYCH OSOBOWOŚCI PRAWNEJ ORAZ  WYDATKI ZWIĄZANE Z ICH POBOREM</t>
  </si>
  <si>
    <t>DOCHODY OD OSÓB PRAWNYCH, OD OSÓB FIZYCZNYCH I OD INNYCH JEDNOSTEK NIE POSIADAJĄCYCH OSOBOWOŚCI PRAWNEJ ORAZ WYDATKI ZWIĄZANE Z ICH POBOREM</t>
  </si>
  <si>
    <t>Pobór podatków, opłat i nieopodatkowanych należności budżetowych</t>
  </si>
  <si>
    <t xml:space="preserve">Świadczenia rodzinne, zaliczka alimentacyjna oraz składki na ubezpieczenia emerytalne i rentowe z ubezpieczenia społecznego </t>
  </si>
  <si>
    <t>Oświetlenie ulic, placów i dróg</t>
  </si>
  <si>
    <t>środki na dofinansowanie własnych inwestycji z Europejskiego Funduszu Rozwoju Regionalnego</t>
  </si>
  <si>
    <t>dotacje celowe otrzymane z budżetu państwa na realizację inwestycji</t>
  </si>
  <si>
    <t>wpływy z rozliczeń kosztów administrowania lokalami użytkowymi</t>
  </si>
  <si>
    <t>odsetki od nieterminowych wpłat z tytułu opłat za korzystanie z majątku miasta</t>
  </si>
  <si>
    <t>kwota zł</t>
  </si>
  <si>
    <t>%</t>
  </si>
  <si>
    <t>1. Dochody</t>
  </si>
  <si>
    <t>2. Wydatki, z tego:</t>
  </si>
  <si>
    <t>2.1. Wydatki bieżące</t>
  </si>
  <si>
    <t>2.2. Wydatki majątkowe</t>
  </si>
  <si>
    <t>3. Deficyt</t>
  </si>
  <si>
    <t>4. Przychody ogółem, z tego:</t>
  </si>
  <si>
    <t>4.1. Kredyty i pożyczki</t>
  </si>
  <si>
    <t>5. Rozchody ogółem, z tego:</t>
  </si>
  <si>
    <t>5.1. Spłaty kredytów i pożyczek</t>
  </si>
  <si>
    <t>PLAN I WYKONANIE BUDŻETU MIASTA NA 2006R.</t>
  </si>
  <si>
    <t>-</t>
  </si>
  <si>
    <t>podatek od nieruchomości od osób prawnych</t>
  </si>
  <si>
    <t>podatek od nieruchomości od osób fizycznych</t>
  </si>
  <si>
    <t xml:space="preserve">część oświatowa subwencji ogólnej z budżetu państwa dla jednostek samorządu terytorialnego </t>
  </si>
  <si>
    <t xml:space="preserve">wpływy z opłaty stałej przedszkoli </t>
  </si>
  <si>
    <t>wpływy z najmu lokali</t>
  </si>
  <si>
    <t xml:space="preserve">odsetki od środków na rachunkach bankowych </t>
  </si>
  <si>
    <t>rozliczenia z lat ubiegłych, środki na zadania własne pozyskane z innych źródeł</t>
  </si>
  <si>
    <t>odsetki od środków na rachunku bankowym</t>
  </si>
  <si>
    <t>wpływy z opłaty produktowej</t>
  </si>
  <si>
    <t>wpływy z najmu i dzierżawy składników majątkowych</t>
  </si>
  <si>
    <t>wpływy z opłat za korzystanie z obiektów sportowych</t>
  </si>
  <si>
    <t xml:space="preserve">opłata za wpis i zmiany w ewidencji działalności gospodarczej, prowizje ze sprzedaży znaków opłaty skarbowej, zwrot kosztów postępowania administracyjnego, koszty upomnień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</si>
</sst>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  <numFmt numFmtId="172" formatCode="#,##0_ ;\-#,##0\ "/>
  </numFmts>
  <fonts count="9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8" fillId="0" borderId="3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"/>
  <sheetViews>
    <sheetView tabSelected="1" zoomScale="90" zoomScaleNormal="90" workbookViewId="0" topLeftCell="A1">
      <selection activeCell="C2" sqref="C2:C3"/>
    </sheetView>
  </sheetViews>
  <sheetFormatPr defaultColWidth="9.00390625" defaultRowHeight="12.75"/>
  <cols>
    <col min="1" max="1" width="9.125" style="2" customWidth="1"/>
    <col min="2" max="2" width="56.00390625" style="2" customWidth="1"/>
    <col min="3" max="3" width="20.00390625" style="2" customWidth="1"/>
    <col min="4" max="4" width="21.00390625" style="2" customWidth="1"/>
    <col min="5" max="5" width="17.875" style="0" customWidth="1"/>
    <col min="6" max="6" width="12.375" style="0" customWidth="1"/>
  </cols>
  <sheetData>
    <row r="1" spans="1:6" ht="50.25" customHeight="1">
      <c r="A1" s="112" t="s">
        <v>130</v>
      </c>
      <c r="B1" s="112"/>
      <c r="C1" s="112"/>
      <c r="D1" s="112"/>
      <c r="E1" s="112"/>
      <c r="F1" s="112"/>
    </row>
    <row r="2" spans="1:6" ht="27" customHeight="1">
      <c r="A2" s="109" t="s">
        <v>11</v>
      </c>
      <c r="B2" s="109" t="s">
        <v>0</v>
      </c>
      <c r="C2" s="109" t="s">
        <v>126</v>
      </c>
      <c r="D2" s="109" t="s">
        <v>127</v>
      </c>
      <c r="E2" s="110" t="s">
        <v>128</v>
      </c>
      <c r="F2" s="111"/>
    </row>
    <row r="3" spans="1:6" s="49" customFormat="1" ht="27.75" customHeight="1">
      <c r="A3" s="109"/>
      <c r="B3" s="109"/>
      <c r="C3" s="109"/>
      <c r="D3" s="109"/>
      <c r="E3" s="83" t="s">
        <v>152</v>
      </c>
      <c r="F3" s="65" t="s">
        <v>153</v>
      </c>
    </row>
    <row r="4" spans="1:6" s="7" customFormat="1" ht="43.5" customHeight="1">
      <c r="A4" s="115">
        <v>400</v>
      </c>
      <c r="B4" s="33" t="s">
        <v>116</v>
      </c>
      <c r="C4" s="100">
        <f>C5+C6</f>
        <v>1471897</v>
      </c>
      <c r="D4" s="34">
        <f>D5+D6</f>
        <v>1562420</v>
      </c>
      <c r="E4" s="34">
        <f>E5+E6</f>
        <v>875357</v>
      </c>
      <c r="F4" s="84">
        <f>E4*100/D4</f>
        <v>56.025716516685655</v>
      </c>
    </row>
    <row r="5" spans="1:6" ht="47.25" customHeight="1">
      <c r="A5" s="116"/>
      <c r="B5" s="35" t="s">
        <v>148</v>
      </c>
      <c r="C5" s="36">
        <v>1471897</v>
      </c>
      <c r="D5" s="16">
        <v>1205441</v>
      </c>
      <c r="E5" s="16">
        <v>875357</v>
      </c>
      <c r="F5" s="66">
        <f aca="true" t="shared" si="0" ref="F5:F12">E5*100/D5</f>
        <v>72.61715836776749</v>
      </c>
    </row>
    <row r="6" spans="1:6" ht="41.25" customHeight="1">
      <c r="A6" s="117"/>
      <c r="B6" s="37" t="s">
        <v>149</v>
      </c>
      <c r="C6" s="101">
        <v>0</v>
      </c>
      <c r="D6" s="17">
        <v>356979</v>
      </c>
      <c r="E6" s="17">
        <v>0</v>
      </c>
      <c r="F6" s="86">
        <f t="shared" si="0"/>
        <v>0</v>
      </c>
    </row>
    <row r="7" spans="1:6" s="4" customFormat="1" ht="26.25" customHeight="1">
      <c r="A7" s="106">
        <v>700</v>
      </c>
      <c r="B7" s="62" t="s">
        <v>1</v>
      </c>
      <c r="C7" s="34">
        <f>C8+C9+C10+C11+C12</f>
        <v>1677238</v>
      </c>
      <c r="D7" s="34">
        <f>D8+D9+D10+D11+D12</f>
        <v>1384228</v>
      </c>
      <c r="E7" s="34">
        <f>E8+E9+E10+E11+E12</f>
        <v>365963</v>
      </c>
      <c r="F7" s="84">
        <f>E7*100/D7</f>
        <v>26.43805789219695</v>
      </c>
    </row>
    <row r="8" spans="1:6" ht="37.5" customHeight="1">
      <c r="A8" s="107"/>
      <c r="B8" s="15" t="s">
        <v>103</v>
      </c>
      <c r="C8" s="16">
        <v>207400</v>
      </c>
      <c r="D8" s="16">
        <v>195000</v>
      </c>
      <c r="E8" s="16">
        <v>95019</v>
      </c>
      <c r="F8" s="66">
        <f t="shared" si="0"/>
        <v>48.72769230769231</v>
      </c>
    </row>
    <row r="9" spans="1:6" ht="70.5" customHeight="1">
      <c r="A9" s="107"/>
      <c r="B9" s="15" t="s">
        <v>63</v>
      </c>
      <c r="C9" s="16">
        <v>1020057</v>
      </c>
      <c r="D9" s="16">
        <v>989228</v>
      </c>
      <c r="E9" s="16">
        <v>200124</v>
      </c>
      <c r="F9" s="66">
        <f t="shared" si="0"/>
        <v>20.23032101800596</v>
      </c>
    </row>
    <row r="10" spans="1:6" ht="26.25" customHeight="1">
      <c r="A10" s="107"/>
      <c r="B10" s="15" t="s">
        <v>64</v>
      </c>
      <c r="C10" s="16">
        <v>355369</v>
      </c>
      <c r="D10" s="16">
        <f>10000+100000</f>
        <v>110000</v>
      </c>
      <c r="E10" s="16">
        <f>5840+31308</f>
        <v>37148</v>
      </c>
      <c r="F10" s="66">
        <f t="shared" si="0"/>
        <v>33.77090909090909</v>
      </c>
    </row>
    <row r="11" spans="1:6" ht="37.5" customHeight="1">
      <c r="A11" s="107"/>
      <c r="B11" s="15" t="s">
        <v>150</v>
      </c>
      <c r="C11" s="16">
        <f>22967+71445</f>
        <v>94412</v>
      </c>
      <c r="D11" s="16">
        <v>70000</v>
      </c>
      <c r="E11" s="16">
        <v>32068</v>
      </c>
      <c r="F11" s="66">
        <f t="shared" si="0"/>
        <v>45.81142857142857</v>
      </c>
    </row>
    <row r="12" spans="1:6" ht="39" customHeight="1">
      <c r="A12" s="108"/>
      <c r="B12" s="21" t="s">
        <v>151</v>
      </c>
      <c r="C12" s="17">
        <v>0</v>
      </c>
      <c r="D12" s="17">
        <v>20000</v>
      </c>
      <c r="E12" s="17">
        <v>1604</v>
      </c>
      <c r="F12" s="86">
        <f t="shared" si="0"/>
        <v>8.02</v>
      </c>
    </row>
    <row r="13" spans="1:6" s="7" customFormat="1" ht="24.75" customHeight="1">
      <c r="A13" s="106" t="s">
        <v>117</v>
      </c>
      <c r="B13" s="40" t="s">
        <v>125</v>
      </c>
      <c r="C13" s="34">
        <f>C14</f>
        <v>8000</v>
      </c>
      <c r="D13" s="34" t="str">
        <f>D14</f>
        <v>0</v>
      </c>
      <c r="E13" s="34">
        <f>E14</f>
        <v>0</v>
      </c>
      <c r="F13" s="84">
        <v>0</v>
      </c>
    </row>
    <row r="14" spans="1:6" ht="51.75" customHeight="1">
      <c r="A14" s="108"/>
      <c r="B14" s="21" t="s">
        <v>118</v>
      </c>
      <c r="C14" s="17">
        <v>8000</v>
      </c>
      <c r="D14" s="60" t="s">
        <v>139</v>
      </c>
      <c r="E14" s="17">
        <v>0</v>
      </c>
      <c r="F14" s="86">
        <v>0</v>
      </c>
    </row>
    <row r="15" spans="1:6" s="4" customFormat="1" ht="24" customHeight="1">
      <c r="A15" s="106">
        <v>750</v>
      </c>
      <c r="B15" s="40" t="s">
        <v>2</v>
      </c>
      <c r="C15" s="34">
        <f>C16+C17+C18+C19</f>
        <v>277530</v>
      </c>
      <c r="D15" s="34">
        <f>D16+D17+D18+D19</f>
        <v>203358</v>
      </c>
      <c r="E15" s="34">
        <f>E16+E17+E18+E19</f>
        <v>75333</v>
      </c>
      <c r="F15" s="84">
        <f aca="true" t="shared" si="1" ref="F15:F21">E15*100/D15</f>
        <v>37.04452246776621</v>
      </c>
    </row>
    <row r="16" spans="1:6" ht="49.5" customHeight="1">
      <c r="A16" s="107"/>
      <c r="B16" s="15" t="s">
        <v>65</v>
      </c>
      <c r="C16" s="16">
        <v>119102</v>
      </c>
      <c r="D16" s="16">
        <v>120858</v>
      </c>
      <c r="E16" s="16">
        <v>37188</v>
      </c>
      <c r="F16" s="66">
        <f t="shared" si="1"/>
        <v>30.769994539045822</v>
      </c>
    </row>
    <row r="17" spans="1:6" ht="50.25" customHeight="1">
      <c r="A17" s="107"/>
      <c r="B17" s="15" t="s">
        <v>96</v>
      </c>
      <c r="C17" s="16">
        <v>2714</v>
      </c>
      <c r="D17" s="16">
        <v>2500</v>
      </c>
      <c r="E17" s="16">
        <v>594</v>
      </c>
      <c r="F17" s="66">
        <f t="shared" si="1"/>
        <v>23.76</v>
      </c>
    </row>
    <row r="18" spans="1:6" ht="57.75" customHeight="1">
      <c r="A18" s="107"/>
      <c r="B18" s="15" t="s">
        <v>176</v>
      </c>
      <c r="C18" s="16">
        <v>155714</v>
      </c>
      <c r="D18" s="16">
        <v>50000</v>
      </c>
      <c r="E18" s="16">
        <v>9779</v>
      </c>
      <c r="F18" s="66">
        <f t="shared" si="1"/>
        <v>19.558</v>
      </c>
    </row>
    <row r="19" spans="1:6" ht="21" customHeight="1">
      <c r="A19" s="108"/>
      <c r="B19" s="21" t="s">
        <v>123</v>
      </c>
      <c r="C19" s="17">
        <v>0</v>
      </c>
      <c r="D19" s="17">
        <v>30000</v>
      </c>
      <c r="E19" s="17">
        <v>27772</v>
      </c>
      <c r="F19" s="86">
        <f t="shared" si="1"/>
        <v>92.57333333333334</v>
      </c>
    </row>
    <row r="20" spans="1:6" s="4" customFormat="1" ht="51" customHeight="1">
      <c r="A20" s="106">
        <v>751</v>
      </c>
      <c r="B20" s="40" t="s">
        <v>3</v>
      </c>
      <c r="C20" s="34">
        <f>C21</f>
        <v>76484</v>
      </c>
      <c r="D20" s="34">
        <f>D21</f>
        <v>2712</v>
      </c>
      <c r="E20" s="34">
        <f>E21</f>
        <v>678</v>
      </c>
      <c r="F20" s="84">
        <f t="shared" si="1"/>
        <v>25</v>
      </c>
    </row>
    <row r="21" spans="1:6" ht="49.5" customHeight="1">
      <c r="A21" s="108"/>
      <c r="B21" s="21" t="s">
        <v>65</v>
      </c>
      <c r="C21" s="17">
        <f>2849+45060+28575</f>
        <v>76484</v>
      </c>
      <c r="D21" s="17">
        <v>2712</v>
      </c>
      <c r="E21" s="17">
        <v>678</v>
      </c>
      <c r="F21" s="86">
        <f t="shared" si="1"/>
        <v>25</v>
      </c>
    </row>
    <row r="22" spans="1:6" s="4" customFormat="1" ht="38.25" customHeight="1">
      <c r="A22" s="106">
        <v>754</v>
      </c>
      <c r="B22" s="40" t="s">
        <v>5</v>
      </c>
      <c r="C22" s="34">
        <f>C23</f>
        <v>7000</v>
      </c>
      <c r="D22" s="34">
        <f>D23</f>
        <v>0</v>
      </c>
      <c r="E22" s="34">
        <f>E23</f>
        <v>0</v>
      </c>
      <c r="F22" s="84">
        <v>0</v>
      </c>
    </row>
    <row r="23" spans="1:6" ht="54" customHeight="1">
      <c r="A23" s="108"/>
      <c r="B23" s="21" t="s">
        <v>66</v>
      </c>
      <c r="C23" s="17">
        <v>7000</v>
      </c>
      <c r="D23" s="17">
        <v>0</v>
      </c>
      <c r="E23" s="17">
        <v>0</v>
      </c>
      <c r="F23" s="86">
        <v>0</v>
      </c>
    </row>
    <row r="24" spans="1:6" s="4" customFormat="1" ht="64.5" customHeight="1">
      <c r="A24" s="106">
        <v>756</v>
      </c>
      <c r="B24" s="40" t="s">
        <v>144</v>
      </c>
      <c r="C24" s="34">
        <f>C25+C26+C27+C28+C29+C30+C31+C32+C33+C34+C35+C36+C37+C38+C39+C40+C41+C42</f>
        <v>15725555</v>
      </c>
      <c r="D24" s="34">
        <f>D25+D26+D27+D28+D29+D30+D31+D32+D33+D34+D35+D36+D37+D38+D39+D40+D41+D42</f>
        <v>16863649</v>
      </c>
      <c r="E24" s="34">
        <f>E25+E26+E27+E28+E29+E30+E31+E32+E33+E34+E35+E36+E37+E38+E39+E40+E41+E42</f>
        <v>4037350</v>
      </c>
      <c r="F24" s="84">
        <f>E24*100/D24</f>
        <v>23.941141089926624</v>
      </c>
    </row>
    <row r="25" spans="1:6" ht="30" customHeight="1">
      <c r="A25" s="107"/>
      <c r="B25" s="15" t="s">
        <v>67</v>
      </c>
      <c r="C25" s="16">
        <v>74426</v>
      </c>
      <c r="D25" s="16">
        <v>50000</v>
      </c>
      <c r="E25" s="16">
        <v>11173</v>
      </c>
      <c r="F25" s="66">
        <f aca="true" t="shared" si="2" ref="F25:F35">E25*100/D25</f>
        <v>22.346</v>
      </c>
    </row>
    <row r="26" spans="1:6" ht="19.5" customHeight="1">
      <c r="A26" s="107"/>
      <c r="B26" s="15" t="s">
        <v>165</v>
      </c>
      <c r="C26" s="16">
        <v>4955954</v>
      </c>
      <c r="D26" s="16">
        <v>5000000</v>
      </c>
      <c r="E26" s="16">
        <v>1058702</v>
      </c>
      <c r="F26" s="66">
        <f t="shared" si="2"/>
        <v>21.17404</v>
      </c>
    </row>
    <row r="27" spans="1:6" s="82" customFormat="1" ht="20.25" customHeight="1">
      <c r="A27" s="107"/>
      <c r="B27" s="15" t="s">
        <v>166</v>
      </c>
      <c r="C27" s="16">
        <v>1883919</v>
      </c>
      <c r="D27" s="16">
        <v>1850000</v>
      </c>
      <c r="E27" s="16">
        <v>651453</v>
      </c>
      <c r="F27" s="66">
        <f>E27*100/D27</f>
        <v>35.213675675675674</v>
      </c>
    </row>
    <row r="28" spans="1:6" ht="18.75" customHeight="1">
      <c r="A28" s="107"/>
      <c r="B28" s="15" t="s">
        <v>68</v>
      </c>
      <c r="C28" s="16">
        <f>8777+154144</f>
        <v>162921</v>
      </c>
      <c r="D28" s="16">
        <f>7000+120000</f>
        <v>127000</v>
      </c>
      <c r="E28" s="16">
        <f>1756+40822</f>
        <v>42578</v>
      </c>
      <c r="F28" s="66">
        <f t="shared" si="2"/>
        <v>33.5259842519685</v>
      </c>
    </row>
    <row r="29" spans="1:6" ht="21" customHeight="1">
      <c r="A29" s="107"/>
      <c r="B29" s="15" t="s">
        <v>69</v>
      </c>
      <c r="C29" s="16">
        <f>115692+201694</f>
        <v>317386</v>
      </c>
      <c r="D29" s="16">
        <f>110000+210000</f>
        <v>320000</v>
      </c>
      <c r="E29" s="16">
        <f>98213+68086</f>
        <v>166299</v>
      </c>
      <c r="F29" s="66">
        <f t="shared" si="2"/>
        <v>51.9684375</v>
      </c>
    </row>
    <row r="30" spans="1:6" s="82" customFormat="1" ht="21" customHeight="1">
      <c r="A30" s="107"/>
      <c r="B30" s="15" t="s">
        <v>70</v>
      </c>
      <c r="C30" s="16">
        <v>33729</v>
      </c>
      <c r="D30" s="16">
        <v>30000</v>
      </c>
      <c r="E30" s="16">
        <v>16804</v>
      </c>
      <c r="F30" s="66">
        <f>E30*100/D30</f>
        <v>56.013333333333335</v>
      </c>
    </row>
    <row r="31" spans="1:6" s="82" customFormat="1" ht="19.5" customHeight="1">
      <c r="A31" s="107"/>
      <c r="B31" s="15" t="s">
        <v>71</v>
      </c>
      <c r="C31" s="16">
        <v>4450</v>
      </c>
      <c r="D31" s="16">
        <v>6000</v>
      </c>
      <c r="E31" s="16">
        <v>8213</v>
      </c>
      <c r="F31" s="66">
        <f>E31*100/D31</f>
        <v>136.88333333333333</v>
      </c>
    </row>
    <row r="32" spans="1:6" s="82" customFormat="1" ht="19.5" customHeight="1">
      <c r="A32" s="107"/>
      <c r="B32" s="15" t="s">
        <v>72</v>
      </c>
      <c r="C32" s="16">
        <v>137679</v>
      </c>
      <c r="D32" s="16">
        <v>135000</v>
      </c>
      <c r="E32" s="16">
        <v>16663</v>
      </c>
      <c r="F32" s="66">
        <f>E32*100/D32</f>
        <v>12.342962962962963</v>
      </c>
    </row>
    <row r="33" spans="1:6" ht="20.25" customHeight="1">
      <c r="A33" s="107"/>
      <c r="B33" s="15" t="s">
        <v>73</v>
      </c>
      <c r="C33" s="16">
        <f>40+72</f>
        <v>112</v>
      </c>
      <c r="D33" s="16">
        <f>500+500</f>
        <v>1000</v>
      </c>
      <c r="E33" s="16">
        <f>12+128</f>
        <v>140</v>
      </c>
      <c r="F33" s="66">
        <f>E33*100/D33</f>
        <v>14</v>
      </c>
    </row>
    <row r="34" spans="1:6" ht="21" customHeight="1">
      <c r="A34" s="107"/>
      <c r="B34" s="15" t="s">
        <v>74</v>
      </c>
      <c r="C34" s="16">
        <f>12839+314175</f>
        <v>327014</v>
      </c>
      <c r="D34" s="16">
        <f>10000+250000</f>
        <v>260000</v>
      </c>
      <c r="E34" s="16">
        <f>13552+107945</f>
        <v>121497</v>
      </c>
      <c r="F34" s="66">
        <f t="shared" si="2"/>
        <v>46.729615384615386</v>
      </c>
    </row>
    <row r="35" spans="1:6" ht="19.5" customHeight="1">
      <c r="A35" s="107"/>
      <c r="B35" s="15" t="s">
        <v>129</v>
      </c>
      <c r="C35" s="16">
        <f>948+6936+15103</f>
        <v>22987</v>
      </c>
      <c r="D35" s="16">
        <f>100+5000+10000</f>
        <v>15100</v>
      </c>
      <c r="E35" s="16">
        <f>288+1993+2172</f>
        <v>4453</v>
      </c>
      <c r="F35" s="66">
        <f t="shared" si="2"/>
        <v>29.490066225165563</v>
      </c>
    </row>
    <row r="36" spans="1:6" ht="21" customHeight="1">
      <c r="A36" s="107"/>
      <c r="B36" s="15" t="s">
        <v>97</v>
      </c>
      <c r="C36" s="16">
        <f>11329+4515</f>
        <v>15844</v>
      </c>
      <c r="D36" s="16">
        <v>0</v>
      </c>
      <c r="E36" s="16">
        <v>496</v>
      </c>
      <c r="F36" s="66">
        <v>0</v>
      </c>
    </row>
    <row r="37" spans="1:6" ht="18" customHeight="1">
      <c r="A37" s="107"/>
      <c r="B37" s="15" t="s">
        <v>75</v>
      </c>
      <c r="C37" s="16">
        <v>687991</v>
      </c>
      <c r="D37" s="16">
        <v>650000</v>
      </c>
      <c r="E37" s="16">
        <v>140246</v>
      </c>
      <c r="F37" s="66">
        <f>E37*100/D37</f>
        <v>21.576307692307694</v>
      </c>
    </row>
    <row r="38" spans="1:6" ht="19.5" customHeight="1">
      <c r="A38" s="107"/>
      <c r="B38" s="15" t="s">
        <v>76</v>
      </c>
      <c r="C38" s="16">
        <v>307441</v>
      </c>
      <c r="D38" s="16">
        <v>237000</v>
      </c>
      <c r="E38" s="16">
        <v>147684</v>
      </c>
      <c r="F38" s="66">
        <f>E38*100/D38</f>
        <v>62.31392405063291</v>
      </c>
    </row>
    <row r="39" spans="1:6" ht="18.75" customHeight="1">
      <c r="A39" s="107"/>
      <c r="B39" s="15" t="s">
        <v>95</v>
      </c>
      <c r="C39" s="16">
        <v>55749</v>
      </c>
      <c r="D39" s="16">
        <v>37000</v>
      </c>
      <c r="E39" s="16">
        <v>13824</v>
      </c>
      <c r="F39" s="66">
        <f>E39*100/D39</f>
        <v>37.362162162162164</v>
      </c>
    </row>
    <row r="40" spans="1:6" ht="59.25" customHeight="1">
      <c r="A40" s="107"/>
      <c r="B40" s="15" t="s">
        <v>142</v>
      </c>
      <c r="C40" s="16">
        <v>242456</v>
      </c>
      <c r="D40" s="16">
        <v>250000</v>
      </c>
      <c r="E40" s="16">
        <v>0</v>
      </c>
      <c r="F40" s="66">
        <v>0</v>
      </c>
    </row>
    <row r="41" spans="1:6" ht="32.25" customHeight="1">
      <c r="A41" s="107"/>
      <c r="B41" s="15" t="s">
        <v>77</v>
      </c>
      <c r="C41" s="16">
        <v>6166630</v>
      </c>
      <c r="D41" s="16">
        <v>7595549</v>
      </c>
      <c r="E41" s="16">
        <v>1479757</v>
      </c>
      <c r="F41" s="66">
        <f aca="true" t="shared" si="3" ref="F41:F46">E41*100/D41</f>
        <v>19.481896568635133</v>
      </c>
    </row>
    <row r="42" spans="1:6" ht="33" customHeight="1">
      <c r="A42" s="108"/>
      <c r="B42" s="21" t="s">
        <v>78</v>
      </c>
      <c r="C42" s="17">
        <v>328867</v>
      </c>
      <c r="D42" s="17">
        <v>300000</v>
      </c>
      <c r="E42" s="17">
        <v>157368</v>
      </c>
      <c r="F42" s="86">
        <f t="shared" si="3"/>
        <v>52.456</v>
      </c>
    </row>
    <row r="43" spans="1:6" s="4" customFormat="1" ht="20.25" customHeight="1">
      <c r="A43" s="106">
        <v>758</v>
      </c>
      <c r="B43" s="40" t="s">
        <v>30</v>
      </c>
      <c r="C43" s="34">
        <f>C44+C45</f>
        <v>7999343</v>
      </c>
      <c r="D43" s="34">
        <f>D44+D45</f>
        <v>7743079</v>
      </c>
      <c r="E43" s="34">
        <f>E44+E45</f>
        <v>2988628</v>
      </c>
      <c r="F43" s="87">
        <f t="shared" si="3"/>
        <v>38.59741066828842</v>
      </c>
    </row>
    <row r="44" spans="1:6" ht="31.5" customHeight="1">
      <c r="A44" s="107"/>
      <c r="B44" s="63" t="s">
        <v>167</v>
      </c>
      <c r="C44" s="16">
        <f>7534613+419715</f>
        <v>7954328</v>
      </c>
      <c r="D44" s="16">
        <v>7723079</v>
      </c>
      <c r="E44" s="16">
        <v>2970415</v>
      </c>
      <c r="F44" s="81">
        <f t="shared" si="3"/>
        <v>38.46153846153846</v>
      </c>
    </row>
    <row r="45" spans="1:6" ht="21.75" customHeight="1">
      <c r="A45" s="108"/>
      <c r="B45" s="64" t="s">
        <v>122</v>
      </c>
      <c r="C45" s="102">
        <v>45015</v>
      </c>
      <c r="D45" s="17">
        <v>20000</v>
      </c>
      <c r="E45" s="17">
        <v>18213</v>
      </c>
      <c r="F45" s="88">
        <f t="shared" si="3"/>
        <v>91.065</v>
      </c>
    </row>
    <row r="46" spans="1:6" s="4" customFormat="1" ht="24" customHeight="1">
      <c r="A46" s="106">
        <v>801</v>
      </c>
      <c r="B46" s="44" t="s">
        <v>7</v>
      </c>
      <c r="C46" s="41">
        <f>C47+C48+C49+C50+C51+C52</f>
        <v>743701</v>
      </c>
      <c r="D46" s="34">
        <f>D47+D48+D49+D50+D51+D52</f>
        <v>800653</v>
      </c>
      <c r="E46" s="34">
        <f>E47+E48+E49+E50+E51+E52</f>
        <v>205159</v>
      </c>
      <c r="F46" s="84">
        <f t="shared" si="3"/>
        <v>25.623959443104567</v>
      </c>
    </row>
    <row r="47" spans="1:6" s="5" customFormat="1" ht="30" customHeight="1">
      <c r="A47" s="107"/>
      <c r="B47" s="15" t="s">
        <v>104</v>
      </c>
      <c r="C47" s="98">
        <f>3333+800</f>
        <v>4133</v>
      </c>
      <c r="D47" s="16">
        <v>0</v>
      </c>
      <c r="E47" s="16">
        <v>0</v>
      </c>
      <c r="F47" s="66">
        <v>0</v>
      </c>
    </row>
    <row r="48" spans="1:6" ht="20.25" customHeight="1">
      <c r="A48" s="107"/>
      <c r="B48" s="15" t="s">
        <v>168</v>
      </c>
      <c r="C48" s="98">
        <v>415507</v>
      </c>
      <c r="D48" s="25">
        <v>428270</v>
      </c>
      <c r="E48" s="25">
        <v>121650</v>
      </c>
      <c r="F48" s="66">
        <f>E49*100/D49</f>
        <v>22.430859057852096</v>
      </c>
    </row>
    <row r="49" spans="1:6" ht="21.75" customHeight="1">
      <c r="A49" s="107"/>
      <c r="B49" s="15" t="s">
        <v>83</v>
      </c>
      <c r="C49" s="98">
        <v>300947</v>
      </c>
      <c r="D49" s="16">
        <v>347334</v>
      </c>
      <c r="E49" s="16">
        <v>77910</v>
      </c>
      <c r="F49" s="66">
        <f aca="true" t="shared" si="4" ref="F49:F54">E49*100/D49</f>
        <v>22.430859057852096</v>
      </c>
    </row>
    <row r="50" spans="1:6" ht="20.25" customHeight="1">
      <c r="A50" s="107"/>
      <c r="B50" s="15" t="s">
        <v>169</v>
      </c>
      <c r="C50" s="98">
        <v>3565</v>
      </c>
      <c r="D50" s="16">
        <v>4864</v>
      </c>
      <c r="E50" s="16">
        <v>596</v>
      </c>
      <c r="F50" s="66">
        <f t="shared" si="4"/>
        <v>12.25328947368421</v>
      </c>
    </row>
    <row r="51" spans="1:6" s="82" customFormat="1" ht="18.75" customHeight="1">
      <c r="A51" s="107"/>
      <c r="B51" s="15" t="s">
        <v>170</v>
      </c>
      <c r="C51" s="98">
        <f>1064+1002+869</f>
        <v>2935</v>
      </c>
      <c r="D51" s="16">
        <f>1100+1120+3780</f>
        <v>6000</v>
      </c>
      <c r="E51" s="16">
        <f>247+237+122</f>
        <v>606</v>
      </c>
      <c r="F51" s="66">
        <f t="shared" si="4"/>
        <v>10.1</v>
      </c>
    </row>
    <row r="52" spans="1:6" s="82" customFormat="1" ht="33.75" customHeight="1">
      <c r="A52" s="108"/>
      <c r="B52" s="21" t="s">
        <v>171</v>
      </c>
      <c r="C52" s="22">
        <f>880+889+1135+528+13182</f>
        <v>16614</v>
      </c>
      <c r="D52" s="17">
        <f>1045+1270+11870</f>
        <v>14185</v>
      </c>
      <c r="E52" s="17">
        <f>189+336+3872</f>
        <v>4397</v>
      </c>
      <c r="F52" s="86">
        <f t="shared" si="4"/>
        <v>30.997532604864293</v>
      </c>
    </row>
    <row r="53" spans="1:6" s="4" customFormat="1" ht="23.25" customHeight="1">
      <c r="A53" s="106">
        <v>852</v>
      </c>
      <c r="B53" s="40" t="s">
        <v>8</v>
      </c>
      <c r="C53" s="34">
        <f>C54+C55+C56+C57+C58+C59+C60</f>
        <v>3521969</v>
      </c>
      <c r="D53" s="34">
        <f>D54+D55+D56+D57+D58+D59+D60</f>
        <v>4334038</v>
      </c>
      <c r="E53" s="34">
        <f>E54+E55+E56+E57+E58+E59+E60</f>
        <v>1034414</v>
      </c>
      <c r="F53" s="84">
        <f t="shared" si="4"/>
        <v>23.867211131974386</v>
      </c>
    </row>
    <row r="54" spans="1:6" s="82" customFormat="1" ht="47.25" customHeight="1">
      <c r="A54" s="107"/>
      <c r="B54" s="15" t="s">
        <v>65</v>
      </c>
      <c r="C54" s="16">
        <f>2590366+21512+231145+142595</f>
        <v>2985618</v>
      </c>
      <c r="D54" s="16">
        <f>3518600+23000+219200+114810</f>
        <v>3875610</v>
      </c>
      <c r="E54" s="16">
        <f>784000+5700+55200+35300</f>
        <v>880200</v>
      </c>
      <c r="F54" s="66">
        <f t="shared" si="4"/>
        <v>22.711263517226964</v>
      </c>
    </row>
    <row r="55" spans="1:6" s="82" customFormat="1" ht="36.75" customHeight="1">
      <c r="A55" s="107"/>
      <c r="B55" s="35" t="s">
        <v>104</v>
      </c>
      <c r="C55" s="16">
        <f>162630+208900+127200</f>
        <v>498730</v>
      </c>
      <c r="D55" s="16">
        <f>149900+200800+75700</f>
        <v>426400</v>
      </c>
      <c r="E55" s="16">
        <f>35400+61600+48200</f>
        <v>145200</v>
      </c>
      <c r="F55" s="66">
        <v>0</v>
      </c>
    </row>
    <row r="56" spans="1:6" s="82" customFormat="1" ht="36" customHeight="1">
      <c r="A56" s="107"/>
      <c r="B56" s="35" t="s">
        <v>119</v>
      </c>
      <c r="C56" s="16">
        <v>8000</v>
      </c>
      <c r="D56" s="16">
        <v>0</v>
      </c>
      <c r="E56" s="16">
        <v>0</v>
      </c>
      <c r="F56" s="66">
        <v>0</v>
      </c>
    </row>
    <row r="57" spans="1:6" ht="20.25" customHeight="1">
      <c r="A57" s="107"/>
      <c r="B57" s="15" t="s">
        <v>82</v>
      </c>
      <c r="C57" s="16">
        <v>28520</v>
      </c>
      <c r="D57" s="16">
        <v>31078</v>
      </c>
      <c r="E57" s="16">
        <v>7881</v>
      </c>
      <c r="F57" s="66">
        <f>E57*100/D57</f>
        <v>25.35877469592638</v>
      </c>
    </row>
    <row r="58" spans="1:6" ht="49.5" customHeight="1">
      <c r="A58" s="107"/>
      <c r="B58" s="15" t="s">
        <v>96</v>
      </c>
      <c r="C58" s="16">
        <v>372</v>
      </c>
      <c r="D58" s="16">
        <v>350</v>
      </c>
      <c r="E58" s="16">
        <v>96</v>
      </c>
      <c r="F58" s="66">
        <f>E58*100/D58</f>
        <v>27.428571428571427</v>
      </c>
    </row>
    <row r="59" spans="1:6" ht="20.25" customHeight="1">
      <c r="A59" s="107"/>
      <c r="B59" s="15" t="s">
        <v>172</v>
      </c>
      <c r="C59" s="16">
        <f>698+31</f>
        <v>729</v>
      </c>
      <c r="D59" s="16">
        <v>600</v>
      </c>
      <c r="E59" s="16">
        <f>135+7</f>
        <v>142</v>
      </c>
      <c r="F59" s="66">
        <f>E59*100/D59</f>
        <v>23.666666666666668</v>
      </c>
    </row>
    <row r="60" spans="1:6" s="5" customFormat="1" ht="20.25" customHeight="1">
      <c r="A60" s="108"/>
      <c r="B60" s="21" t="s">
        <v>123</v>
      </c>
      <c r="C60" s="17">
        <v>0</v>
      </c>
      <c r="D60" s="17">
        <v>0</v>
      </c>
      <c r="E60" s="17">
        <f>580+315</f>
        <v>895</v>
      </c>
      <c r="F60" s="86">
        <v>0</v>
      </c>
    </row>
    <row r="61" spans="1:6" s="4" customFormat="1" ht="42" customHeight="1">
      <c r="A61" s="106" t="s">
        <v>92</v>
      </c>
      <c r="B61" s="40" t="s">
        <v>93</v>
      </c>
      <c r="C61" s="41">
        <f>C62</f>
        <v>47932</v>
      </c>
      <c r="D61" s="34">
        <f>D62</f>
        <v>0</v>
      </c>
      <c r="E61" s="34">
        <f>E62</f>
        <v>0</v>
      </c>
      <c r="F61" s="84">
        <v>0</v>
      </c>
    </row>
    <row r="62" spans="1:6" ht="57" customHeight="1">
      <c r="A62" s="108"/>
      <c r="B62" s="21" t="s">
        <v>110</v>
      </c>
      <c r="C62" s="22">
        <v>47932</v>
      </c>
      <c r="D62" s="17">
        <v>0</v>
      </c>
      <c r="E62" s="17">
        <v>0</v>
      </c>
      <c r="F62" s="86">
        <v>0</v>
      </c>
    </row>
    <row r="63" spans="1:6" s="4" customFormat="1" ht="26.25" customHeight="1">
      <c r="A63" s="106">
        <v>854</v>
      </c>
      <c r="B63" s="99" t="s">
        <v>42</v>
      </c>
      <c r="C63" s="34">
        <f>C64+C65</f>
        <v>476177</v>
      </c>
      <c r="D63" s="34">
        <f>D64+D65</f>
        <v>254056</v>
      </c>
      <c r="E63" s="34">
        <f>E64+E65</f>
        <v>116356</v>
      </c>
      <c r="F63" s="84">
        <f>E63*100/D63</f>
        <v>45.79935132411752</v>
      </c>
    </row>
    <row r="64" spans="1:6" ht="39.75" customHeight="1">
      <c r="A64" s="107"/>
      <c r="B64" s="28" t="s">
        <v>79</v>
      </c>
      <c r="C64" s="16">
        <v>93408</v>
      </c>
      <c r="D64" s="16">
        <v>15799</v>
      </c>
      <c r="E64" s="16">
        <v>15799</v>
      </c>
      <c r="F64" s="66">
        <f>E64*100/D64</f>
        <v>100</v>
      </c>
    </row>
    <row r="65" spans="1:6" ht="24.75" customHeight="1">
      <c r="A65" s="108"/>
      <c r="B65" s="29" t="s">
        <v>81</v>
      </c>
      <c r="C65" s="17">
        <v>382769</v>
      </c>
      <c r="D65" s="17">
        <v>238257</v>
      </c>
      <c r="E65" s="17">
        <v>100557</v>
      </c>
      <c r="F65" s="86">
        <f>E65*100/D65</f>
        <v>42.20526574245458</v>
      </c>
    </row>
    <row r="66" spans="1:6" s="4" customFormat="1" ht="42" customHeight="1">
      <c r="A66" s="106">
        <v>900</v>
      </c>
      <c r="B66" s="40" t="s">
        <v>9</v>
      </c>
      <c r="C66" s="34">
        <f>C67+C68+C69+C70</f>
        <v>865819</v>
      </c>
      <c r="D66" s="34">
        <f>D67+D68+D69+D70</f>
        <v>0</v>
      </c>
      <c r="E66" s="34">
        <f>E67+E68+E69+E70</f>
        <v>14086</v>
      </c>
      <c r="F66" s="84">
        <v>0</v>
      </c>
    </row>
    <row r="67" spans="1:6" ht="51" customHeight="1">
      <c r="A67" s="107"/>
      <c r="B67" s="15" t="s">
        <v>80</v>
      </c>
      <c r="C67" s="16">
        <v>827958</v>
      </c>
      <c r="D67" s="16">
        <v>0</v>
      </c>
      <c r="E67" s="16">
        <v>0</v>
      </c>
      <c r="F67" s="66">
        <v>0</v>
      </c>
    </row>
    <row r="68" spans="1:6" s="82" customFormat="1" ht="26.25" customHeight="1">
      <c r="A68" s="107"/>
      <c r="B68" s="15" t="s">
        <v>173</v>
      </c>
      <c r="C68" s="16">
        <v>20849</v>
      </c>
      <c r="D68" s="16">
        <v>0</v>
      </c>
      <c r="E68" s="16">
        <v>0</v>
      </c>
      <c r="F68" s="66">
        <v>0</v>
      </c>
    </row>
    <row r="69" spans="1:6" s="82" customFormat="1" ht="37.5" customHeight="1">
      <c r="A69" s="107"/>
      <c r="B69" s="15" t="s">
        <v>124</v>
      </c>
      <c r="C69" s="16">
        <v>5012</v>
      </c>
      <c r="D69" s="16">
        <v>0</v>
      </c>
      <c r="E69" s="16">
        <v>0</v>
      </c>
      <c r="F69" s="66">
        <v>0</v>
      </c>
    </row>
    <row r="70" spans="1:6" s="82" customFormat="1" ht="42.75" customHeight="1">
      <c r="A70" s="108"/>
      <c r="B70" s="21" t="s">
        <v>120</v>
      </c>
      <c r="C70" s="17">
        <v>12000</v>
      </c>
      <c r="D70" s="17">
        <v>0</v>
      </c>
      <c r="E70" s="17">
        <v>14086</v>
      </c>
      <c r="F70" s="86">
        <v>0</v>
      </c>
    </row>
    <row r="71" spans="1:6" s="7" customFormat="1" ht="30" customHeight="1">
      <c r="A71" s="106" t="s">
        <v>109</v>
      </c>
      <c r="B71" s="40" t="s">
        <v>47</v>
      </c>
      <c r="C71" s="34">
        <f>C72</f>
        <v>17500</v>
      </c>
      <c r="D71" s="57">
        <f>D72</f>
        <v>0</v>
      </c>
      <c r="E71" s="34">
        <f>E72</f>
        <v>0</v>
      </c>
      <c r="F71" s="84">
        <v>0</v>
      </c>
    </row>
    <row r="72" spans="1:6" s="82" customFormat="1" ht="56.25" customHeight="1">
      <c r="A72" s="108"/>
      <c r="B72" s="21" t="s">
        <v>118</v>
      </c>
      <c r="C72" s="17">
        <v>17500</v>
      </c>
      <c r="D72" s="59">
        <v>0</v>
      </c>
      <c r="E72" s="17">
        <v>0</v>
      </c>
      <c r="F72" s="86">
        <v>0</v>
      </c>
    </row>
    <row r="73" spans="1:6" s="4" customFormat="1" ht="27" customHeight="1">
      <c r="A73" s="106">
        <v>926</v>
      </c>
      <c r="B73" s="52" t="s">
        <v>10</v>
      </c>
      <c r="C73" s="34">
        <f>C74+C75+C76+C77</f>
        <v>100317</v>
      </c>
      <c r="D73" s="57">
        <f>D74+D75+D76+D77</f>
        <v>100020</v>
      </c>
      <c r="E73" s="34">
        <f>E74+E75+E76+E77</f>
        <v>19412</v>
      </c>
      <c r="F73" s="84">
        <f aca="true" t="shared" si="5" ref="F73:F78">E73*100/D73</f>
        <v>19.408118376324737</v>
      </c>
    </row>
    <row r="74" spans="1:6" ht="33.75" customHeight="1">
      <c r="A74" s="107"/>
      <c r="B74" s="42" t="s">
        <v>174</v>
      </c>
      <c r="C74" s="16">
        <v>15646</v>
      </c>
      <c r="D74" s="61">
        <v>17500</v>
      </c>
      <c r="E74" s="16">
        <v>5582</v>
      </c>
      <c r="F74" s="66">
        <f t="shared" si="5"/>
        <v>31.897142857142857</v>
      </c>
    </row>
    <row r="75" spans="1:6" ht="32.25" customHeight="1">
      <c r="A75" s="107"/>
      <c r="B75" s="42" t="s">
        <v>175</v>
      </c>
      <c r="C75" s="16">
        <v>81898</v>
      </c>
      <c r="D75" s="61">
        <v>80120</v>
      </c>
      <c r="E75" s="16">
        <v>13049</v>
      </c>
      <c r="F75" s="66">
        <f t="shared" si="5"/>
        <v>16.286819770344483</v>
      </c>
    </row>
    <row r="76" spans="1:6" ht="24.75" customHeight="1">
      <c r="A76" s="107"/>
      <c r="B76" s="43" t="s">
        <v>123</v>
      </c>
      <c r="C76" s="16">
        <v>2579</v>
      </c>
      <c r="D76" s="61">
        <v>2000</v>
      </c>
      <c r="E76" s="16">
        <v>713</v>
      </c>
      <c r="F76" s="66">
        <f t="shared" si="5"/>
        <v>35.65</v>
      </c>
    </row>
    <row r="77" spans="1:6" ht="24.75" customHeight="1">
      <c r="A77" s="108"/>
      <c r="B77" s="48" t="s">
        <v>122</v>
      </c>
      <c r="C77" s="17">
        <v>194</v>
      </c>
      <c r="D77" s="59">
        <v>400</v>
      </c>
      <c r="E77" s="17">
        <v>68</v>
      </c>
      <c r="F77" s="86">
        <f t="shared" si="5"/>
        <v>17</v>
      </c>
    </row>
    <row r="78" spans="1:6" s="45" customFormat="1" ht="27" customHeight="1">
      <c r="A78" s="113" t="s">
        <v>141</v>
      </c>
      <c r="B78" s="114"/>
      <c r="C78" s="46">
        <f>C4+C7+C13+C15+C20+C22+C24+C43+C46+C53+C61+C63+C66+C71+C73</f>
        <v>33016462</v>
      </c>
      <c r="D78" s="47">
        <f>D4+D7+D13+D15+D20+D22+D24+D43+D46+D53+D61+D63+D66+D71+D73</f>
        <v>33248213</v>
      </c>
      <c r="E78" s="47">
        <f>E4+E7+E13+E15+E20+E22+E24+E43+E46+E53+E61+E63+E66+E71+E73</f>
        <v>9732736</v>
      </c>
      <c r="F78" s="89">
        <f t="shared" si="5"/>
        <v>29.272959722677427</v>
      </c>
    </row>
    <row r="79" spans="1:6" ht="14.25">
      <c r="A79" s="51"/>
      <c r="B79" s="51"/>
      <c r="C79" s="50"/>
      <c r="D79" s="55"/>
      <c r="E79" s="55"/>
      <c r="F79" s="32"/>
    </row>
    <row r="80" spans="1:6" ht="14.25">
      <c r="A80" s="51"/>
      <c r="B80" s="51"/>
      <c r="C80" s="51"/>
      <c r="D80" s="55"/>
      <c r="E80" s="55"/>
      <c r="F80" s="32"/>
    </row>
    <row r="81" spans="1:6" ht="14.25">
      <c r="A81" s="51"/>
      <c r="B81" s="51"/>
      <c r="C81" s="50"/>
      <c r="D81" s="55"/>
      <c r="E81" s="55"/>
      <c r="F81" s="32"/>
    </row>
    <row r="82" spans="1:6" ht="14.25">
      <c r="A82" s="51"/>
      <c r="B82" s="51"/>
      <c r="C82" s="51"/>
      <c r="D82" s="55"/>
      <c r="E82" s="55"/>
      <c r="F82" s="32"/>
    </row>
    <row r="83" spans="1:6" ht="14.25">
      <c r="A83" s="51"/>
      <c r="B83" s="51"/>
      <c r="C83" s="51"/>
      <c r="D83" s="55"/>
      <c r="E83" s="55"/>
      <c r="F83" s="32"/>
    </row>
    <row r="84" spans="1:6" ht="14.25">
      <c r="A84" s="51"/>
      <c r="B84" s="51"/>
      <c r="C84" s="51"/>
      <c r="D84" s="55"/>
      <c r="E84" s="55"/>
      <c r="F84" s="32"/>
    </row>
    <row r="85" spans="1:6" ht="14.25">
      <c r="A85" s="51"/>
      <c r="B85" s="51"/>
      <c r="C85" s="51"/>
      <c r="D85" s="55"/>
      <c r="E85" s="55"/>
      <c r="F85" s="32"/>
    </row>
    <row r="86" spans="1:6" ht="14.25">
      <c r="A86" s="51"/>
      <c r="B86" s="51"/>
      <c r="C86" s="51"/>
      <c r="D86" s="51"/>
      <c r="E86" s="51"/>
      <c r="F86" s="32"/>
    </row>
    <row r="87" spans="1:6" ht="14.25">
      <c r="A87" s="51"/>
      <c r="B87" s="51"/>
      <c r="C87" s="51"/>
      <c r="D87" s="51"/>
      <c r="E87" s="51"/>
      <c r="F87" s="32"/>
    </row>
    <row r="88" spans="1:6" ht="14.25">
      <c r="A88" s="51"/>
      <c r="B88" s="51"/>
      <c r="C88" s="51"/>
      <c r="D88" s="51"/>
      <c r="E88" s="51"/>
      <c r="F88" s="32"/>
    </row>
    <row r="89" spans="1:6" ht="14.25">
      <c r="A89" s="51"/>
      <c r="B89" s="51"/>
      <c r="C89" s="51"/>
      <c r="D89" s="51"/>
      <c r="E89" s="51"/>
      <c r="F89" s="32"/>
    </row>
    <row r="90" spans="1:6" ht="14.25">
      <c r="A90" s="51"/>
      <c r="B90" s="51"/>
      <c r="C90" s="51"/>
      <c r="D90" s="51"/>
      <c r="E90" s="51"/>
      <c r="F90" s="32"/>
    </row>
    <row r="91" spans="1:6" ht="14.25">
      <c r="A91" s="51"/>
      <c r="B91" s="51"/>
      <c r="C91" s="51"/>
      <c r="D91" s="51"/>
      <c r="E91" s="51"/>
      <c r="F91" s="32"/>
    </row>
    <row r="92" spans="1:6" ht="14.25">
      <c r="A92" s="51"/>
      <c r="B92" s="51"/>
      <c r="C92" s="51"/>
      <c r="D92" s="51"/>
      <c r="E92" s="51"/>
      <c r="F92" s="32"/>
    </row>
    <row r="93" spans="1:6" ht="14.25">
      <c r="A93" s="32"/>
      <c r="B93" s="32"/>
      <c r="C93" s="32"/>
      <c r="D93" s="32"/>
      <c r="E93" s="32"/>
      <c r="F93" s="32"/>
    </row>
    <row r="94" spans="1:6" ht="14.25">
      <c r="A94" s="32"/>
      <c r="B94" s="32"/>
      <c r="C94" s="32"/>
      <c r="D94" s="32"/>
      <c r="E94" s="32"/>
      <c r="F94" s="32"/>
    </row>
    <row r="95" spans="1:6" ht="14.25">
      <c r="A95" s="32"/>
      <c r="B95" s="32"/>
      <c r="C95" s="32"/>
      <c r="D95" s="32"/>
      <c r="E95" s="32"/>
      <c r="F95" s="32"/>
    </row>
    <row r="96" spans="1:6" ht="14.25">
      <c r="A96" s="32"/>
      <c r="B96" s="32"/>
      <c r="C96" s="32"/>
      <c r="D96" s="32"/>
      <c r="E96" s="32"/>
      <c r="F96" s="32"/>
    </row>
    <row r="97" spans="1:6" ht="14.25">
      <c r="A97" s="32"/>
      <c r="B97" s="32"/>
      <c r="C97" s="32"/>
      <c r="D97" s="32"/>
      <c r="E97" s="32"/>
      <c r="F97" s="32"/>
    </row>
    <row r="98" spans="1:6" ht="14.25">
      <c r="A98" s="32"/>
      <c r="B98" s="32"/>
      <c r="C98" s="32"/>
      <c r="D98" s="32"/>
      <c r="E98" s="32"/>
      <c r="F98" s="32"/>
    </row>
    <row r="99" spans="1:6" ht="14.25">
      <c r="A99" s="32"/>
      <c r="B99" s="32"/>
      <c r="C99" s="32"/>
      <c r="D99" s="32"/>
      <c r="E99" s="32"/>
      <c r="F99" s="32"/>
    </row>
    <row r="100" spans="1:6" ht="14.25">
      <c r="A100" s="32"/>
      <c r="B100" s="32"/>
      <c r="C100" s="32"/>
      <c r="D100" s="32"/>
      <c r="E100" s="32"/>
      <c r="F100" s="32"/>
    </row>
    <row r="101" spans="1:6" ht="14.25">
      <c r="A101" s="32"/>
      <c r="B101" s="32"/>
      <c r="C101" s="32"/>
      <c r="D101" s="32"/>
      <c r="E101" s="32"/>
      <c r="F101" s="32"/>
    </row>
    <row r="102" spans="1:6" ht="14.25">
      <c r="A102" s="32"/>
      <c r="B102" s="32"/>
      <c r="C102" s="32"/>
      <c r="D102" s="32"/>
      <c r="E102" s="32"/>
      <c r="F102" s="32"/>
    </row>
    <row r="103" spans="1:6" ht="14.25">
      <c r="A103" s="32"/>
      <c r="B103" s="32"/>
      <c r="C103" s="32"/>
      <c r="D103" s="32"/>
      <c r="E103" s="32"/>
      <c r="F103" s="32"/>
    </row>
    <row r="104" spans="1:6" ht="14.25">
      <c r="A104" s="32"/>
      <c r="B104" s="32"/>
      <c r="C104" s="32"/>
      <c r="D104" s="32"/>
      <c r="E104" s="32"/>
      <c r="F104" s="32"/>
    </row>
    <row r="105" spans="1:6" ht="14.25">
      <c r="A105" s="32"/>
      <c r="B105" s="32"/>
      <c r="C105" s="32"/>
      <c r="D105" s="32"/>
      <c r="E105" s="32"/>
      <c r="F105" s="32"/>
    </row>
    <row r="106" spans="1:6" ht="14.25">
      <c r="A106" s="32"/>
      <c r="B106" s="32"/>
      <c r="C106" s="32"/>
      <c r="D106" s="32"/>
      <c r="E106" s="32"/>
      <c r="F106" s="32"/>
    </row>
    <row r="107" spans="1:6" ht="14.25">
      <c r="A107" s="32"/>
      <c r="B107" s="32"/>
      <c r="C107" s="32"/>
      <c r="D107" s="32"/>
      <c r="E107" s="32"/>
      <c r="F107" s="32"/>
    </row>
    <row r="108" spans="1:6" ht="14.25">
      <c r="A108" s="32"/>
      <c r="B108" s="32"/>
      <c r="C108" s="32"/>
      <c r="D108" s="32"/>
      <c r="E108" s="32"/>
      <c r="F108" s="32"/>
    </row>
    <row r="109" spans="1:6" ht="14.25">
      <c r="A109" s="32"/>
      <c r="B109" s="32"/>
      <c r="C109" s="32"/>
      <c r="D109" s="32"/>
      <c r="E109" s="32"/>
      <c r="F109" s="32"/>
    </row>
    <row r="110" spans="1:6" ht="14.25">
      <c r="A110" s="32"/>
      <c r="B110" s="32"/>
      <c r="C110" s="32"/>
      <c r="D110" s="32"/>
      <c r="E110" s="32"/>
      <c r="F110" s="32"/>
    </row>
    <row r="111" spans="1:6" ht="14.25">
      <c r="A111" s="32"/>
      <c r="B111" s="32"/>
      <c r="C111" s="32"/>
      <c r="D111" s="32"/>
      <c r="E111" s="32"/>
      <c r="F111" s="32"/>
    </row>
    <row r="112" spans="1:6" ht="14.25">
      <c r="A112" s="32"/>
      <c r="B112" s="32"/>
      <c r="C112" s="32"/>
      <c r="D112" s="32"/>
      <c r="E112" s="32"/>
      <c r="F112" s="32"/>
    </row>
    <row r="113" spans="1:6" ht="14.25">
      <c r="A113" s="32"/>
      <c r="B113" s="32"/>
      <c r="C113" s="32"/>
      <c r="D113" s="32"/>
      <c r="E113" s="32"/>
      <c r="F113" s="32"/>
    </row>
    <row r="114" spans="1:6" ht="14.25">
      <c r="A114" s="32"/>
      <c r="B114" s="32"/>
      <c r="C114" s="32"/>
      <c r="D114" s="32"/>
      <c r="E114" s="32"/>
      <c r="F114" s="32"/>
    </row>
    <row r="115" spans="1:6" ht="14.25">
      <c r="A115" s="32"/>
      <c r="B115" s="32"/>
      <c r="C115" s="32"/>
      <c r="D115" s="32"/>
      <c r="E115" s="32"/>
      <c r="F115" s="32"/>
    </row>
    <row r="116" spans="1:6" ht="14.25">
      <c r="A116" s="32"/>
      <c r="B116" s="32"/>
      <c r="C116" s="32"/>
      <c r="D116" s="32"/>
      <c r="E116" s="32"/>
      <c r="F116" s="32"/>
    </row>
    <row r="117" spans="1:6" ht="14.25">
      <c r="A117" s="32"/>
      <c r="B117" s="32"/>
      <c r="C117" s="32"/>
      <c r="D117" s="32"/>
      <c r="E117" s="32"/>
      <c r="F117" s="32"/>
    </row>
    <row r="118" spans="1:6" ht="14.25">
      <c r="A118" s="32"/>
      <c r="B118" s="32"/>
      <c r="C118" s="32"/>
      <c r="D118" s="32"/>
      <c r="E118" s="32"/>
      <c r="F118" s="32"/>
    </row>
    <row r="119" spans="1:6" ht="14.25">
      <c r="A119" s="32"/>
      <c r="B119" s="32"/>
      <c r="C119" s="32"/>
      <c r="D119" s="32"/>
      <c r="E119" s="32"/>
      <c r="F119" s="32"/>
    </row>
    <row r="120" spans="1:6" ht="14.25">
      <c r="A120" s="32"/>
      <c r="B120" s="32"/>
      <c r="C120" s="32"/>
      <c r="D120" s="32"/>
      <c r="E120" s="32"/>
      <c r="F120" s="32"/>
    </row>
    <row r="121" spans="1:6" ht="14.25">
      <c r="A121" s="32"/>
      <c r="B121" s="32"/>
      <c r="C121" s="32"/>
      <c r="D121" s="32"/>
      <c r="E121" s="32"/>
      <c r="F121" s="32"/>
    </row>
    <row r="122" spans="1:6" ht="14.25">
      <c r="A122" s="32"/>
      <c r="B122" s="32"/>
      <c r="C122" s="32"/>
      <c r="D122" s="32"/>
      <c r="E122" s="32"/>
      <c r="F122" s="32"/>
    </row>
    <row r="123" spans="1:6" ht="14.25">
      <c r="A123" s="32"/>
      <c r="B123" s="32"/>
      <c r="C123" s="32"/>
      <c r="D123" s="32"/>
      <c r="E123" s="32"/>
      <c r="F123" s="32"/>
    </row>
    <row r="124" spans="1:6" ht="14.25">
      <c r="A124" s="32"/>
      <c r="B124" s="32"/>
      <c r="C124" s="32"/>
      <c r="D124" s="32"/>
      <c r="E124" s="32"/>
      <c r="F124" s="32"/>
    </row>
    <row r="125" spans="1:6" ht="14.25">
      <c r="A125" s="32"/>
      <c r="B125" s="32"/>
      <c r="C125" s="32"/>
      <c r="D125" s="32"/>
      <c r="E125" s="32"/>
      <c r="F125" s="32"/>
    </row>
    <row r="126" spans="1:6" ht="14.25">
      <c r="A126" s="32"/>
      <c r="B126" s="32"/>
      <c r="C126" s="32"/>
      <c r="D126" s="32"/>
      <c r="E126" s="32"/>
      <c r="F126" s="32"/>
    </row>
    <row r="127" spans="1:6" ht="14.25">
      <c r="A127" s="32"/>
      <c r="B127" s="32"/>
      <c r="C127" s="32"/>
      <c r="D127" s="32"/>
      <c r="E127" s="32"/>
      <c r="F127" s="32"/>
    </row>
    <row r="128" spans="1:6" ht="14.25">
      <c r="A128" s="32"/>
      <c r="B128" s="32"/>
      <c r="C128" s="32"/>
      <c r="D128" s="32"/>
      <c r="E128" s="32"/>
      <c r="F128" s="32"/>
    </row>
    <row r="129" spans="1:6" ht="14.25">
      <c r="A129" s="32"/>
      <c r="B129" s="32"/>
      <c r="C129" s="32"/>
      <c r="D129" s="32"/>
      <c r="E129" s="32"/>
      <c r="F129" s="32"/>
    </row>
    <row r="130" spans="1:6" ht="14.25">
      <c r="A130" s="32"/>
      <c r="B130" s="32"/>
      <c r="C130" s="32"/>
      <c r="D130" s="32"/>
      <c r="E130" s="32"/>
      <c r="F130" s="32"/>
    </row>
    <row r="131" spans="1:6" ht="14.25">
      <c r="A131" s="32"/>
      <c r="B131" s="32"/>
      <c r="C131" s="32"/>
      <c r="D131" s="32"/>
      <c r="E131" s="32"/>
      <c r="F131" s="32"/>
    </row>
    <row r="132" spans="1:6" ht="14.25">
      <c r="A132" s="32"/>
      <c r="B132" s="32"/>
      <c r="C132" s="32"/>
      <c r="D132" s="32"/>
      <c r="E132" s="32"/>
      <c r="F132" s="32"/>
    </row>
    <row r="133" spans="1:6" ht="14.25">
      <c r="A133" s="32"/>
      <c r="B133" s="32"/>
      <c r="C133" s="32"/>
      <c r="D133" s="32"/>
      <c r="E133" s="32"/>
      <c r="F133" s="32"/>
    </row>
    <row r="134" spans="1:6" ht="14.25">
      <c r="A134" s="32"/>
      <c r="B134" s="32"/>
      <c r="C134" s="32"/>
      <c r="D134" s="32"/>
      <c r="E134" s="32"/>
      <c r="F134" s="32"/>
    </row>
    <row r="135" spans="1:6" ht="14.25">
      <c r="A135" s="32"/>
      <c r="B135" s="32"/>
      <c r="C135" s="32"/>
      <c r="D135" s="32"/>
      <c r="E135" s="32"/>
      <c r="F135" s="32"/>
    </row>
    <row r="136" spans="1:6" ht="14.25">
      <c r="A136" s="32"/>
      <c r="B136" s="32"/>
      <c r="C136" s="32"/>
      <c r="D136" s="32"/>
      <c r="E136" s="32"/>
      <c r="F136" s="32"/>
    </row>
    <row r="137" spans="1:6" ht="14.25">
      <c r="A137" s="32"/>
      <c r="B137" s="32"/>
      <c r="C137" s="32"/>
      <c r="D137" s="32"/>
      <c r="E137" s="32"/>
      <c r="F137" s="32"/>
    </row>
    <row r="138" spans="1:6" ht="14.25">
      <c r="A138" s="32"/>
      <c r="B138" s="32"/>
      <c r="C138" s="32"/>
      <c r="D138" s="32"/>
      <c r="E138" s="32"/>
      <c r="F138" s="32"/>
    </row>
    <row r="139" spans="1:6" ht="14.25">
      <c r="A139" s="32"/>
      <c r="B139" s="32"/>
      <c r="C139" s="32"/>
      <c r="D139" s="32"/>
      <c r="E139" s="32"/>
      <c r="F139" s="32"/>
    </row>
    <row r="140" spans="1:6" ht="14.25">
      <c r="A140" s="32"/>
      <c r="B140" s="32"/>
      <c r="C140" s="32"/>
      <c r="D140" s="32"/>
      <c r="E140" s="32"/>
      <c r="F140" s="32"/>
    </row>
    <row r="141" spans="1:6" ht="14.25">
      <c r="A141" s="32"/>
      <c r="B141" s="32"/>
      <c r="C141" s="32"/>
      <c r="D141" s="32"/>
      <c r="E141" s="32"/>
      <c r="F141" s="32"/>
    </row>
    <row r="142" spans="1:6" ht="14.25">
      <c r="A142" s="32"/>
      <c r="B142" s="32"/>
      <c r="C142" s="32"/>
      <c r="D142" s="32"/>
      <c r="E142" s="32"/>
      <c r="F142" s="32"/>
    </row>
    <row r="143" spans="1:6" ht="14.25">
      <c r="A143" s="32"/>
      <c r="B143" s="32"/>
      <c r="C143" s="32"/>
      <c r="D143" s="32"/>
      <c r="E143" s="32"/>
      <c r="F143" s="32"/>
    </row>
    <row r="144" spans="1:6" ht="14.25">
      <c r="A144" s="32"/>
      <c r="B144" s="32"/>
      <c r="C144" s="32"/>
      <c r="D144" s="32"/>
      <c r="E144" s="32"/>
      <c r="F144" s="32"/>
    </row>
    <row r="145" spans="1:6" ht="14.25">
      <c r="A145" s="32"/>
      <c r="B145" s="32"/>
      <c r="C145" s="32"/>
      <c r="D145" s="32"/>
      <c r="E145" s="32"/>
      <c r="F145" s="32"/>
    </row>
    <row r="146" spans="1:6" ht="14.25">
      <c r="A146" s="32"/>
      <c r="B146" s="32"/>
      <c r="C146" s="32"/>
      <c r="D146" s="32"/>
      <c r="E146" s="32"/>
      <c r="F146" s="32"/>
    </row>
    <row r="147" spans="1:6" ht="14.25">
      <c r="A147" s="32"/>
      <c r="B147" s="32"/>
      <c r="C147" s="32"/>
      <c r="D147" s="32"/>
      <c r="E147" s="32"/>
      <c r="F147" s="32"/>
    </row>
    <row r="148" spans="1:6" ht="14.25">
      <c r="A148" s="32"/>
      <c r="B148" s="32"/>
      <c r="C148" s="32"/>
      <c r="D148" s="32"/>
      <c r="E148" s="32"/>
      <c r="F148" s="32"/>
    </row>
    <row r="149" spans="1:6" ht="14.25">
      <c r="A149" s="32"/>
      <c r="B149" s="32"/>
      <c r="C149" s="32"/>
      <c r="D149" s="32"/>
      <c r="E149" s="32"/>
      <c r="F149" s="32"/>
    </row>
    <row r="150" spans="1:6" ht="14.25">
      <c r="A150" s="32"/>
      <c r="B150" s="32"/>
      <c r="C150" s="32"/>
      <c r="D150" s="32"/>
      <c r="E150" s="32"/>
      <c r="F150" s="32"/>
    </row>
    <row r="151" spans="1:6" ht="14.25">
      <c r="A151" s="32"/>
      <c r="B151" s="32"/>
      <c r="C151" s="32"/>
      <c r="D151" s="32"/>
      <c r="E151" s="32"/>
      <c r="F151" s="32"/>
    </row>
    <row r="152" spans="1:6" ht="14.25">
      <c r="A152" s="32"/>
      <c r="B152" s="32"/>
      <c r="C152" s="32"/>
      <c r="D152" s="32"/>
      <c r="E152" s="32"/>
      <c r="F152" s="32"/>
    </row>
    <row r="153" spans="1:6" ht="14.25">
      <c r="A153" s="32"/>
      <c r="B153" s="32"/>
      <c r="C153" s="32"/>
      <c r="D153" s="32"/>
      <c r="E153" s="32"/>
      <c r="F153" s="32"/>
    </row>
    <row r="154" spans="1:6" ht="14.25">
      <c r="A154" s="32"/>
      <c r="B154" s="32"/>
      <c r="C154" s="32"/>
      <c r="D154" s="32"/>
      <c r="E154" s="32"/>
      <c r="F154" s="32"/>
    </row>
    <row r="155" spans="1:6" ht="14.25">
      <c r="A155" s="32"/>
      <c r="B155" s="32"/>
      <c r="C155" s="32"/>
      <c r="D155" s="32"/>
      <c r="E155" s="32"/>
      <c r="F155" s="32"/>
    </row>
    <row r="156" spans="1:6" ht="14.25">
      <c r="A156" s="32"/>
      <c r="B156" s="32"/>
      <c r="C156" s="32"/>
      <c r="D156" s="32"/>
      <c r="E156" s="32"/>
      <c r="F156" s="32"/>
    </row>
    <row r="157" spans="1:6" ht="14.25">
      <c r="A157" s="32"/>
      <c r="B157" s="32"/>
      <c r="C157" s="32"/>
      <c r="D157" s="32"/>
      <c r="E157" s="32"/>
      <c r="F157" s="32"/>
    </row>
    <row r="158" spans="1:6" ht="14.25">
      <c r="A158" s="32"/>
      <c r="B158" s="32"/>
      <c r="C158" s="32"/>
      <c r="D158" s="32"/>
      <c r="E158" s="32"/>
      <c r="F158" s="32"/>
    </row>
    <row r="159" spans="1:6" ht="14.25">
      <c r="A159" s="32"/>
      <c r="B159" s="32"/>
      <c r="C159" s="32"/>
      <c r="D159" s="32"/>
      <c r="E159" s="32"/>
      <c r="F159" s="32"/>
    </row>
    <row r="160" spans="1:6" ht="14.25">
      <c r="A160" s="32"/>
      <c r="B160" s="32"/>
      <c r="C160" s="32"/>
      <c r="D160" s="32"/>
      <c r="E160" s="32"/>
      <c r="F160" s="32"/>
    </row>
    <row r="161" spans="1:6" ht="14.25">
      <c r="A161" s="32"/>
      <c r="B161" s="32"/>
      <c r="C161" s="32"/>
      <c r="D161" s="32"/>
      <c r="E161" s="32"/>
      <c r="F161" s="32"/>
    </row>
    <row r="162" spans="1:6" ht="14.25">
      <c r="A162" s="32"/>
      <c r="B162" s="32"/>
      <c r="C162" s="32"/>
      <c r="D162" s="32"/>
      <c r="E162" s="32"/>
      <c r="F162" s="32"/>
    </row>
    <row r="163" spans="1:6" ht="14.25">
      <c r="A163" s="32"/>
      <c r="B163" s="32"/>
      <c r="C163" s="32"/>
      <c r="D163" s="32"/>
      <c r="E163" s="32"/>
      <c r="F163" s="32"/>
    </row>
    <row r="164" spans="1:6" ht="14.25">
      <c r="A164" s="32"/>
      <c r="B164" s="32"/>
      <c r="C164" s="32"/>
      <c r="D164" s="32"/>
      <c r="E164" s="32"/>
      <c r="F164" s="32"/>
    </row>
    <row r="165" spans="1:6" ht="14.25">
      <c r="A165" s="32"/>
      <c r="B165" s="32"/>
      <c r="C165" s="32"/>
      <c r="D165" s="32"/>
      <c r="E165" s="32"/>
      <c r="F165" s="32"/>
    </row>
    <row r="166" spans="1:6" ht="14.25">
      <c r="A166" s="32"/>
      <c r="B166" s="32"/>
      <c r="C166" s="32"/>
      <c r="D166" s="32"/>
      <c r="E166" s="32"/>
      <c r="F166" s="32"/>
    </row>
    <row r="167" spans="1:6" ht="14.25">
      <c r="A167" s="32"/>
      <c r="B167" s="32"/>
      <c r="C167" s="32"/>
      <c r="D167" s="32"/>
      <c r="E167" s="32"/>
      <c r="F167" s="32"/>
    </row>
    <row r="168" spans="1:6" ht="14.25">
      <c r="A168" s="32"/>
      <c r="B168" s="32"/>
      <c r="C168" s="32"/>
      <c r="D168" s="32"/>
      <c r="E168" s="32"/>
      <c r="F168" s="32"/>
    </row>
    <row r="169" spans="1:6" ht="14.25">
      <c r="A169" s="32"/>
      <c r="B169" s="32"/>
      <c r="C169" s="32"/>
      <c r="D169" s="32"/>
      <c r="E169" s="32"/>
      <c r="F169" s="32"/>
    </row>
    <row r="170" spans="1:6" ht="14.25">
      <c r="A170" s="32"/>
      <c r="B170" s="32"/>
      <c r="C170" s="32"/>
      <c r="D170" s="32"/>
      <c r="E170" s="32"/>
      <c r="F170" s="32"/>
    </row>
    <row r="171" spans="1:6" ht="14.25">
      <c r="A171" s="32"/>
      <c r="B171" s="32"/>
      <c r="C171" s="32"/>
      <c r="D171" s="32"/>
      <c r="E171" s="32"/>
      <c r="F171" s="32"/>
    </row>
    <row r="172" spans="1:6" ht="14.25">
      <c r="A172" s="32"/>
      <c r="B172" s="32"/>
      <c r="C172" s="32"/>
      <c r="D172" s="32"/>
      <c r="E172" s="32"/>
      <c r="F172" s="32"/>
    </row>
    <row r="173" spans="1:6" ht="14.25">
      <c r="A173" s="32"/>
      <c r="B173" s="32"/>
      <c r="C173" s="32"/>
      <c r="D173" s="32"/>
      <c r="E173" s="32"/>
      <c r="F173" s="32"/>
    </row>
    <row r="174" spans="1:6" ht="14.25">
      <c r="A174" s="32"/>
      <c r="B174" s="32"/>
      <c r="C174" s="32"/>
      <c r="D174" s="32"/>
      <c r="E174" s="32"/>
      <c r="F174" s="32"/>
    </row>
    <row r="175" spans="1:6" ht="14.25">
      <c r="A175" s="32"/>
      <c r="B175" s="32"/>
      <c r="C175" s="32"/>
      <c r="D175" s="32"/>
      <c r="E175" s="32"/>
      <c r="F175" s="32"/>
    </row>
    <row r="176" spans="1:6" ht="14.25">
      <c r="A176" s="32"/>
      <c r="B176" s="32"/>
      <c r="C176" s="32"/>
      <c r="D176" s="32"/>
      <c r="E176" s="32"/>
      <c r="F176" s="32"/>
    </row>
    <row r="177" spans="1:6" ht="14.25">
      <c r="A177" s="32"/>
      <c r="B177" s="32"/>
      <c r="C177" s="32"/>
      <c r="D177" s="32"/>
      <c r="E177" s="32"/>
      <c r="F177" s="32"/>
    </row>
    <row r="178" spans="1:6" ht="14.25">
      <c r="A178" s="32"/>
      <c r="B178" s="32"/>
      <c r="C178" s="32"/>
      <c r="D178" s="32"/>
      <c r="E178" s="32"/>
      <c r="F178" s="32"/>
    </row>
    <row r="179" spans="1:6" ht="14.25">
      <c r="A179" s="32"/>
      <c r="B179" s="32"/>
      <c r="C179" s="32"/>
      <c r="D179" s="32"/>
      <c r="E179" s="32"/>
      <c r="F179" s="32"/>
    </row>
    <row r="180" spans="1:6" ht="14.25">
      <c r="A180" s="32"/>
      <c r="B180" s="32"/>
      <c r="C180" s="32"/>
      <c r="D180" s="32"/>
      <c r="E180" s="32"/>
      <c r="F180" s="32"/>
    </row>
    <row r="181" spans="1:6" ht="14.25">
      <c r="A181" s="32"/>
      <c r="B181" s="32"/>
      <c r="C181" s="32"/>
      <c r="D181" s="32"/>
      <c r="E181" s="32"/>
      <c r="F181" s="32"/>
    </row>
    <row r="182" spans="1:6" ht="14.25">
      <c r="A182" s="32"/>
      <c r="B182" s="32"/>
      <c r="C182" s="32"/>
      <c r="D182" s="32"/>
      <c r="E182" s="32"/>
      <c r="F182" s="32"/>
    </row>
    <row r="183" spans="1:6" ht="14.25">
      <c r="A183" s="32"/>
      <c r="B183" s="32"/>
      <c r="C183" s="32"/>
      <c r="D183" s="32"/>
      <c r="E183" s="32"/>
      <c r="F183" s="32"/>
    </row>
    <row r="184" spans="1:6" ht="14.25">
      <c r="A184" s="32"/>
      <c r="B184" s="32"/>
      <c r="C184" s="32"/>
      <c r="D184" s="32"/>
      <c r="E184" s="32"/>
      <c r="F184" s="32"/>
    </row>
    <row r="185" spans="1:6" ht="14.25">
      <c r="A185" s="32"/>
      <c r="B185" s="32"/>
      <c r="C185" s="32"/>
      <c r="D185" s="32"/>
      <c r="E185" s="32"/>
      <c r="F185" s="32"/>
    </row>
    <row r="186" spans="1:6" ht="14.25">
      <c r="A186" s="32"/>
      <c r="B186" s="32"/>
      <c r="C186" s="32"/>
      <c r="D186" s="32"/>
      <c r="E186" s="32"/>
      <c r="F186" s="32"/>
    </row>
    <row r="187" spans="1:6" ht="14.25">
      <c r="A187" s="32"/>
      <c r="B187" s="32"/>
      <c r="C187" s="32"/>
      <c r="D187" s="32"/>
      <c r="E187" s="32"/>
      <c r="F187" s="32"/>
    </row>
    <row r="188" spans="1:6" ht="14.25">
      <c r="A188" s="32"/>
      <c r="B188" s="32"/>
      <c r="C188" s="32"/>
      <c r="D188" s="32"/>
      <c r="E188" s="32"/>
      <c r="F188" s="32"/>
    </row>
    <row r="189" spans="1:6" ht="14.25">
      <c r="A189" s="32"/>
      <c r="B189" s="32"/>
      <c r="C189" s="32"/>
      <c r="D189" s="32"/>
      <c r="E189" s="32"/>
      <c r="F189" s="32"/>
    </row>
    <row r="190" spans="1:6" ht="14.25">
      <c r="A190" s="32"/>
      <c r="B190" s="32"/>
      <c r="C190" s="32"/>
      <c r="D190" s="32"/>
      <c r="E190" s="32"/>
      <c r="F190" s="32"/>
    </row>
    <row r="191" spans="1:6" ht="14.25">
      <c r="A191" s="32"/>
      <c r="B191" s="32"/>
      <c r="C191" s="32"/>
      <c r="D191" s="32"/>
      <c r="E191" s="32"/>
      <c r="F191" s="32"/>
    </row>
    <row r="192" spans="1:6" ht="14.25">
      <c r="A192" s="32"/>
      <c r="B192" s="32"/>
      <c r="C192" s="32"/>
      <c r="D192" s="32"/>
      <c r="E192" s="32"/>
      <c r="F192" s="32"/>
    </row>
    <row r="193" spans="1:6" ht="14.25">
      <c r="A193" s="32"/>
      <c r="B193" s="32"/>
      <c r="C193" s="32"/>
      <c r="D193" s="32"/>
      <c r="E193" s="32"/>
      <c r="F193" s="32"/>
    </row>
    <row r="194" spans="1:6" ht="14.25">
      <c r="A194" s="32"/>
      <c r="B194" s="32"/>
      <c r="C194" s="32"/>
      <c r="D194" s="32"/>
      <c r="E194" s="32"/>
      <c r="F194" s="32"/>
    </row>
    <row r="195" spans="1:6" ht="14.25">
      <c r="A195" s="32"/>
      <c r="B195" s="32"/>
      <c r="C195" s="32"/>
      <c r="D195" s="32"/>
      <c r="E195" s="32"/>
      <c r="F195" s="32"/>
    </row>
    <row r="196" spans="1:6" ht="14.25">
      <c r="A196" s="32"/>
      <c r="B196" s="32"/>
      <c r="C196" s="32"/>
      <c r="D196" s="32"/>
      <c r="E196" s="32"/>
      <c r="F196" s="32"/>
    </row>
    <row r="197" spans="1:6" ht="14.25">
      <c r="A197" s="32"/>
      <c r="B197" s="32"/>
      <c r="C197" s="32"/>
      <c r="D197" s="32"/>
      <c r="E197" s="32"/>
      <c r="F197" s="32"/>
    </row>
    <row r="198" spans="1:6" ht="14.25">
      <c r="A198" s="32"/>
      <c r="B198" s="32"/>
      <c r="C198" s="32"/>
      <c r="D198" s="32"/>
      <c r="E198" s="32"/>
      <c r="F198" s="32"/>
    </row>
    <row r="199" spans="1:6" ht="14.25">
      <c r="A199" s="32"/>
      <c r="B199" s="32"/>
      <c r="C199" s="32"/>
      <c r="D199" s="32"/>
      <c r="E199" s="32"/>
      <c r="F199" s="32"/>
    </row>
    <row r="200" spans="1:6" ht="14.25">
      <c r="A200" s="32"/>
      <c r="B200" s="32"/>
      <c r="C200" s="32"/>
      <c r="D200" s="32"/>
      <c r="E200" s="32"/>
      <c r="F200" s="32"/>
    </row>
    <row r="201" spans="1:6" ht="14.25">
      <c r="A201" s="32"/>
      <c r="B201" s="32"/>
      <c r="C201" s="32"/>
      <c r="D201" s="32"/>
      <c r="E201" s="32"/>
      <c r="F201" s="32"/>
    </row>
    <row r="202" spans="1:6" ht="14.25">
      <c r="A202" s="32"/>
      <c r="B202" s="32"/>
      <c r="C202" s="32"/>
      <c r="D202" s="32"/>
      <c r="E202" s="32"/>
      <c r="F202" s="32"/>
    </row>
    <row r="203" spans="1:6" ht="14.25">
      <c r="A203" s="32"/>
      <c r="B203" s="32"/>
      <c r="C203" s="32"/>
      <c r="D203" s="32"/>
      <c r="E203" s="32"/>
      <c r="F203" s="32"/>
    </row>
    <row r="204" spans="1:6" ht="14.25">
      <c r="A204" s="32"/>
      <c r="B204" s="32"/>
      <c r="C204" s="32"/>
      <c r="D204" s="32"/>
      <c r="E204" s="32"/>
      <c r="F204" s="32"/>
    </row>
    <row r="205" spans="1:6" ht="14.25">
      <c r="A205" s="32"/>
      <c r="B205" s="32"/>
      <c r="C205" s="32"/>
      <c r="D205" s="32"/>
      <c r="E205" s="32"/>
      <c r="F205" s="32"/>
    </row>
    <row r="206" spans="1:6" ht="14.25">
      <c r="A206" s="32"/>
      <c r="B206" s="32"/>
      <c r="C206" s="32"/>
      <c r="D206" s="32"/>
      <c r="E206" s="32"/>
      <c r="F206" s="32"/>
    </row>
    <row r="207" spans="1:6" ht="14.25">
      <c r="A207" s="32"/>
      <c r="B207" s="32"/>
      <c r="C207" s="32"/>
      <c r="D207" s="32"/>
      <c r="E207" s="32"/>
      <c r="F207" s="32"/>
    </row>
    <row r="208" spans="1:6" ht="14.25">
      <c r="A208" s="32"/>
      <c r="B208" s="32"/>
      <c r="C208" s="32"/>
      <c r="D208" s="32"/>
      <c r="E208" s="32"/>
      <c r="F208" s="32"/>
    </row>
    <row r="209" spans="1:6" ht="14.25">
      <c r="A209" s="32"/>
      <c r="B209" s="32"/>
      <c r="C209" s="32"/>
      <c r="D209" s="32"/>
      <c r="E209" s="32"/>
      <c r="F209" s="32"/>
    </row>
    <row r="210" spans="1:6" ht="14.25">
      <c r="A210" s="32"/>
      <c r="B210" s="32"/>
      <c r="C210" s="32"/>
      <c r="D210" s="32"/>
      <c r="E210" s="32"/>
      <c r="F210" s="32"/>
    </row>
    <row r="211" spans="1:6" ht="14.25">
      <c r="A211" s="32"/>
      <c r="B211" s="32"/>
      <c r="C211" s="32"/>
      <c r="D211" s="32"/>
      <c r="E211" s="32"/>
      <c r="F211" s="32"/>
    </row>
    <row r="212" spans="1:6" ht="14.25">
      <c r="A212" s="32"/>
      <c r="B212" s="32"/>
      <c r="C212" s="32"/>
      <c r="D212" s="32"/>
      <c r="E212" s="32"/>
      <c r="F212" s="32"/>
    </row>
    <row r="213" spans="1:6" ht="14.25">
      <c r="A213" s="32"/>
      <c r="B213" s="32"/>
      <c r="C213" s="32"/>
      <c r="D213" s="32"/>
      <c r="E213" s="32"/>
      <c r="F213" s="32"/>
    </row>
    <row r="214" spans="1:6" ht="14.25">
      <c r="A214" s="32"/>
      <c r="B214" s="32"/>
      <c r="C214" s="32"/>
      <c r="D214" s="32"/>
      <c r="E214" s="32"/>
      <c r="F214" s="32"/>
    </row>
    <row r="215" spans="1:6" ht="14.25">
      <c r="A215" s="32"/>
      <c r="B215" s="32"/>
      <c r="C215" s="32"/>
      <c r="D215" s="32"/>
      <c r="E215" s="32"/>
      <c r="F215" s="32"/>
    </row>
    <row r="216" spans="1:6" ht="14.25">
      <c r="A216" s="32"/>
      <c r="B216" s="32"/>
      <c r="C216" s="32"/>
      <c r="D216" s="32"/>
      <c r="E216" s="32"/>
      <c r="F216" s="32"/>
    </row>
    <row r="217" spans="1:6" ht="14.25">
      <c r="A217" s="32"/>
      <c r="B217" s="32"/>
      <c r="C217" s="32"/>
      <c r="D217" s="32"/>
      <c r="E217" s="32"/>
      <c r="F217" s="32"/>
    </row>
    <row r="218" spans="1:6" ht="14.25">
      <c r="A218" s="32"/>
      <c r="B218" s="32"/>
      <c r="C218" s="32"/>
      <c r="D218" s="32"/>
      <c r="E218" s="32"/>
      <c r="F218" s="32"/>
    </row>
    <row r="219" spans="1:6" ht="14.25">
      <c r="A219" s="32"/>
      <c r="B219" s="32"/>
      <c r="C219" s="32"/>
      <c r="D219" s="32"/>
      <c r="E219" s="32"/>
      <c r="F219" s="32"/>
    </row>
    <row r="220" spans="1:6" ht="14.25">
      <c r="A220" s="32"/>
      <c r="B220" s="32"/>
      <c r="C220" s="32"/>
      <c r="D220" s="32"/>
      <c r="E220" s="32"/>
      <c r="F220" s="32"/>
    </row>
    <row r="221" spans="1:6" ht="14.25">
      <c r="A221" s="32"/>
      <c r="B221" s="32"/>
      <c r="C221" s="32"/>
      <c r="D221" s="32"/>
      <c r="E221" s="32"/>
      <c r="F221" s="32"/>
    </row>
    <row r="222" spans="1:6" ht="14.25">
      <c r="A222" s="32"/>
      <c r="B222" s="32"/>
      <c r="C222" s="32"/>
      <c r="D222" s="32"/>
      <c r="E222" s="32"/>
      <c r="F222" s="32"/>
    </row>
    <row r="223" spans="1:6" ht="14.25">
      <c r="A223" s="32"/>
      <c r="B223" s="32"/>
      <c r="C223" s="32"/>
      <c r="D223" s="32"/>
      <c r="E223" s="32"/>
      <c r="F223" s="32"/>
    </row>
    <row r="224" spans="1:6" ht="14.25">
      <c r="A224" s="32"/>
      <c r="B224" s="32"/>
      <c r="C224" s="32"/>
      <c r="D224" s="32"/>
      <c r="E224" s="32"/>
      <c r="F224" s="32"/>
    </row>
    <row r="225" spans="1:6" ht="14.25">
      <c r="A225" s="32"/>
      <c r="B225" s="32"/>
      <c r="C225" s="32"/>
      <c r="D225" s="32"/>
      <c r="E225" s="32"/>
      <c r="F225" s="32"/>
    </row>
    <row r="226" spans="1:6" ht="14.25">
      <c r="A226" s="32"/>
      <c r="B226" s="32"/>
      <c r="C226" s="32"/>
      <c r="D226" s="32"/>
      <c r="E226" s="32"/>
      <c r="F226" s="32"/>
    </row>
    <row r="227" spans="1:6" ht="14.25">
      <c r="A227" s="32"/>
      <c r="B227" s="32"/>
      <c r="C227" s="32"/>
      <c r="D227" s="32"/>
      <c r="E227" s="32"/>
      <c r="F227" s="32"/>
    </row>
    <row r="228" spans="1:6" ht="14.25">
      <c r="A228" s="32"/>
      <c r="B228" s="32"/>
      <c r="C228" s="32"/>
      <c r="D228" s="32"/>
      <c r="E228" s="32"/>
      <c r="F228" s="32"/>
    </row>
    <row r="229" spans="1:6" ht="14.25">
      <c r="A229" s="32"/>
      <c r="B229" s="32"/>
      <c r="C229" s="32"/>
      <c r="D229" s="32"/>
      <c r="E229" s="32"/>
      <c r="F229" s="32"/>
    </row>
    <row r="230" spans="1:6" ht="14.25">
      <c r="A230" s="32"/>
      <c r="B230" s="32"/>
      <c r="C230" s="32"/>
      <c r="D230" s="32"/>
      <c r="E230" s="32"/>
      <c r="F230" s="32"/>
    </row>
    <row r="231" spans="1:6" ht="14.25">
      <c r="A231" s="32"/>
      <c r="B231" s="32"/>
      <c r="C231" s="32"/>
      <c r="D231" s="32"/>
      <c r="E231" s="32"/>
      <c r="F231" s="32"/>
    </row>
    <row r="232" spans="1:6" ht="14.25">
      <c r="A232" s="32"/>
      <c r="B232" s="32"/>
      <c r="C232" s="32"/>
      <c r="D232" s="32"/>
      <c r="E232" s="32"/>
      <c r="F232" s="32"/>
    </row>
    <row r="233" spans="1:6" ht="14.25">
      <c r="A233" s="32"/>
      <c r="B233" s="32"/>
      <c r="C233" s="32"/>
      <c r="D233" s="32"/>
      <c r="E233" s="32"/>
      <c r="F233" s="32"/>
    </row>
    <row r="234" spans="1:6" ht="14.25">
      <c r="A234" s="32"/>
      <c r="B234" s="32"/>
      <c r="C234" s="32"/>
      <c r="D234" s="32"/>
      <c r="E234" s="32"/>
      <c r="F234" s="32"/>
    </row>
    <row r="235" spans="1:6" ht="14.25">
      <c r="A235" s="32"/>
      <c r="B235" s="32"/>
      <c r="C235" s="32"/>
      <c r="D235" s="32"/>
      <c r="E235" s="32"/>
      <c r="F235" s="32"/>
    </row>
    <row r="236" spans="1:6" ht="14.25">
      <c r="A236" s="32"/>
      <c r="B236" s="32"/>
      <c r="C236" s="32"/>
      <c r="D236" s="32"/>
      <c r="E236" s="32"/>
      <c r="F236" s="32"/>
    </row>
    <row r="237" spans="1:6" ht="14.25">
      <c r="A237" s="32"/>
      <c r="B237" s="32"/>
      <c r="C237" s="32"/>
      <c r="D237" s="32"/>
      <c r="E237" s="32"/>
      <c r="F237" s="32"/>
    </row>
    <row r="238" spans="1:6" ht="14.25">
      <c r="A238" s="32"/>
      <c r="B238" s="32"/>
      <c r="C238" s="32"/>
      <c r="D238" s="32"/>
      <c r="E238" s="32"/>
      <c r="F238" s="32"/>
    </row>
    <row r="239" spans="1:6" ht="14.25">
      <c r="A239" s="32"/>
      <c r="B239" s="32"/>
      <c r="C239" s="32"/>
      <c r="D239" s="32"/>
      <c r="E239" s="32"/>
      <c r="F239" s="32"/>
    </row>
    <row r="240" spans="1:6" ht="14.25">
      <c r="A240" s="32"/>
      <c r="B240" s="32"/>
      <c r="C240" s="32"/>
      <c r="D240" s="32"/>
      <c r="E240" s="32"/>
      <c r="F240" s="32"/>
    </row>
    <row r="241" spans="1:6" ht="14.25">
      <c r="A241" s="32"/>
      <c r="B241" s="32"/>
      <c r="C241" s="32"/>
      <c r="D241" s="32"/>
      <c r="E241" s="32"/>
      <c r="F241" s="32"/>
    </row>
    <row r="242" spans="1:6" ht="14.25">
      <c r="A242" s="32"/>
      <c r="B242" s="32"/>
      <c r="C242" s="32"/>
      <c r="D242" s="32"/>
      <c r="E242" s="32"/>
      <c r="F242" s="32"/>
    </row>
    <row r="243" spans="1:6" ht="14.25">
      <c r="A243" s="32"/>
      <c r="B243" s="32"/>
      <c r="C243" s="32"/>
      <c r="D243" s="32"/>
      <c r="E243" s="32"/>
      <c r="F243" s="32"/>
    </row>
    <row r="244" spans="1:6" ht="14.25">
      <c r="A244" s="32"/>
      <c r="B244" s="32"/>
      <c r="C244" s="32"/>
      <c r="D244" s="32"/>
      <c r="E244" s="32"/>
      <c r="F244" s="32"/>
    </row>
    <row r="245" spans="1:6" ht="14.25">
      <c r="A245" s="32"/>
      <c r="B245" s="32"/>
      <c r="C245" s="32"/>
      <c r="D245" s="32"/>
      <c r="E245" s="32"/>
      <c r="F245" s="32"/>
    </row>
    <row r="246" spans="1:6" ht="14.25">
      <c r="A246" s="32"/>
      <c r="B246" s="32"/>
      <c r="C246" s="32"/>
      <c r="D246" s="32"/>
      <c r="E246" s="32"/>
      <c r="F246" s="32"/>
    </row>
    <row r="247" spans="1:6" ht="14.25">
      <c r="A247" s="32"/>
      <c r="B247" s="32"/>
      <c r="C247" s="32"/>
      <c r="D247" s="32"/>
      <c r="E247" s="32"/>
      <c r="F247" s="32"/>
    </row>
    <row r="248" spans="1:6" ht="14.25">
      <c r="A248" s="32"/>
      <c r="B248" s="32"/>
      <c r="C248" s="32"/>
      <c r="D248" s="32"/>
      <c r="E248" s="32"/>
      <c r="F248" s="32"/>
    </row>
    <row r="249" spans="1:6" ht="14.25">
      <c r="A249" s="32"/>
      <c r="B249" s="32"/>
      <c r="C249" s="32"/>
      <c r="D249" s="32"/>
      <c r="E249" s="32"/>
      <c r="F249" s="32"/>
    </row>
    <row r="250" spans="1:6" ht="14.25">
      <c r="A250" s="32"/>
      <c r="B250" s="32"/>
      <c r="C250" s="32"/>
      <c r="D250" s="32"/>
      <c r="E250" s="32"/>
      <c r="F250" s="32"/>
    </row>
    <row r="251" spans="1:6" ht="14.25">
      <c r="A251" s="32"/>
      <c r="B251" s="32"/>
      <c r="C251" s="32"/>
      <c r="D251" s="32"/>
      <c r="E251" s="32"/>
      <c r="F251" s="32"/>
    </row>
    <row r="252" spans="1:6" ht="14.25">
      <c r="A252" s="32"/>
      <c r="B252" s="32"/>
      <c r="C252" s="32"/>
      <c r="D252" s="32"/>
      <c r="E252" s="32"/>
      <c r="F252" s="32"/>
    </row>
    <row r="253" spans="1:6" ht="14.25">
      <c r="A253" s="32"/>
      <c r="B253" s="32"/>
      <c r="C253" s="32"/>
      <c r="D253" s="32"/>
      <c r="E253" s="32"/>
      <c r="F253" s="32"/>
    </row>
    <row r="254" spans="1:6" ht="14.25">
      <c r="A254" s="32"/>
      <c r="B254" s="32"/>
      <c r="C254" s="32"/>
      <c r="D254" s="32"/>
      <c r="E254" s="32"/>
      <c r="F254" s="32"/>
    </row>
    <row r="255" spans="1:6" ht="14.25">
      <c r="A255" s="32"/>
      <c r="B255" s="32"/>
      <c r="C255" s="32"/>
      <c r="D255" s="32"/>
      <c r="E255" s="32"/>
      <c r="F255" s="32"/>
    </row>
    <row r="256" spans="1:6" ht="14.25">
      <c r="A256" s="32"/>
      <c r="B256" s="32"/>
      <c r="C256" s="32"/>
      <c r="D256" s="32"/>
      <c r="E256" s="32"/>
      <c r="F256" s="32"/>
    </row>
    <row r="257" spans="1:6" ht="14.25">
      <c r="A257" s="32"/>
      <c r="B257" s="32"/>
      <c r="C257" s="32"/>
      <c r="D257" s="32"/>
      <c r="E257" s="32"/>
      <c r="F257" s="32"/>
    </row>
    <row r="258" spans="1:6" ht="14.25">
      <c r="A258" s="32"/>
      <c r="B258" s="32"/>
      <c r="C258" s="32"/>
      <c r="D258" s="32"/>
      <c r="E258" s="32"/>
      <c r="F258" s="32"/>
    </row>
    <row r="259" spans="1:6" ht="14.25">
      <c r="A259" s="32"/>
      <c r="B259" s="32"/>
      <c r="C259" s="32"/>
      <c r="D259" s="32"/>
      <c r="E259" s="32"/>
      <c r="F259" s="32"/>
    </row>
    <row r="260" spans="1:6" ht="14.25">
      <c r="A260" s="32"/>
      <c r="B260" s="32"/>
      <c r="C260" s="32"/>
      <c r="D260" s="32"/>
      <c r="E260" s="32"/>
      <c r="F260" s="32"/>
    </row>
    <row r="261" spans="1:6" ht="14.25">
      <c r="A261" s="32"/>
      <c r="B261" s="32"/>
      <c r="C261" s="32"/>
      <c r="D261" s="32"/>
      <c r="E261" s="32"/>
      <c r="F261" s="32"/>
    </row>
    <row r="262" spans="1:6" ht="14.25">
      <c r="A262" s="32"/>
      <c r="B262" s="32"/>
      <c r="C262" s="32"/>
      <c r="D262" s="32"/>
      <c r="E262" s="32"/>
      <c r="F262" s="32"/>
    </row>
    <row r="263" spans="1:6" ht="14.25">
      <c r="A263" s="32"/>
      <c r="B263" s="32"/>
      <c r="C263" s="32"/>
      <c r="D263" s="32"/>
      <c r="E263" s="32"/>
      <c r="F263" s="32"/>
    </row>
    <row r="264" spans="1:6" ht="14.25">
      <c r="A264" s="32"/>
      <c r="B264" s="32"/>
      <c r="C264" s="32"/>
      <c r="D264" s="32"/>
      <c r="E264" s="32"/>
      <c r="F264" s="32"/>
    </row>
    <row r="265" spans="1:6" ht="14.25">
      <c r="A265" s="32"/>
      <c r="B265" s="32"/>
      <c r="C265" s="32"/>
      <c r="D265" s="32"/>
      <c r="E265" s="32"/>
      <c r="F265" s="32"/>
    </row>
    <row r="266" spans="1:6" ht="14.25">
      <c r="A266" s="32"/>
      <c r="B266" s="32"/>
      <c r="C266" s="32"/>
      <c r="D266" s="32"/>
      <c r="E266" s="32"/>
      <c r="F266" s="32"/>
    </row>
    <row r="267" spans="1:6" ht="14.25">
      <c r="A267" s="32"/>
      <c r="B267" s="32"/>
      <c r="C267" s="32"/>
      <c r="D267" s="32"/>
      <c r="E267" s="32"/>
      <c r="F267" s="32"/>
    </row>
    <row r="268" spans="1:6" ht="14.25">
      <c r="A268" s="32"/>
      <c r="B268" s="32"/>
      <c r="C268" s="32"/>
      <c r="D268" s="32"/>
      <c r="E268" s="32"/>
      <c r="F268" s="32"/>
    </row>
    <row r="269" spans="1:6" ht="14.25">
      <c r="A269" s="32"/>
      <c r="B269" s="32"/>
      <c r="C269" s="32"/>
      <c r="D269" s="32"/>
      <c r="E269" s="32"/>
      <c r="F269" s="32"/>
    </row>
    <row r="270" spans="1:6" ht="14.25">
      <c r="A270" s="32"/>
      <c r="B270" s="32"/>
      <c r="C270" s="32"/>
      <c r="D270" s="32"/>
      <c r="E270" s="32"/>
      <c r="F270" s="32"/>
    </row>
    <row r="271" spans="1:6" ht="14.25">
      <c r="A271" s="32"/>
      <c r="B271" s="32"/>
      <c r="C271" s="32"/>
      <c r="D271" s="32"/>
      <c r="E271" s="32"/>
      <c r="F271" s="32"/>
    </row>
    <row r="272" spans="1:6" ht="14.25">
      <c r="A272" s="32"/>
      <c r="B272" s="32"/>
      <c r="C272" s="32"/>
      <c r="D272" s="32"/>
      <c r="E272" s="32"/>
      <c r="F272" s="32"/>
    </row>
    <row r="273" spans="1:6" ht="14.25">
      <c r="A273" s="32"/>
      <c r="B273" s="32"/>
      <c r="C273" s="32"/>
      <c r="D273" s="32"/>
      <c r="E273" s="32"/>
      <c r="F273" s="32"/>
    </row>
    <row r="274" spans="1:6" ht="14.25">
      <c r="A274" s="32"/>
      <c r="B274" s="32"/>
      <c r="C274" s="32"/>
      <c r="D274" s="32"/>
      <c r="E274" s="32"/>
      <c r="F274" s="32"/>
    </row>
    <row r="275" spans="1:6" ht="14.25">
      <c r="A275" s="32"/>
      <c r="B275" s="32"/>
      <c r="C275" s="32"/>
      <c r="D275" s="32"/>
      <c r="E275" s="32"/>
      <c r="F275" s="32"/>
    </row>
    <row r="276" spans="1:6" ht="14.25">
      <c r="A276" s="32"/>
      <c r="B276" s="32"/>
      <c r="C276" s="32"/>
      <c r="D276" s="32"/>
      <c r="E276" s="32"/>
      <c r="F276" s="32"/>
    </row>
    <row r="277" spans="1:6" ht="14.25">
      <c r="A277" s="32"/>
      <c r="B277" s="32"/>
      <c r="C277" s="32"/>
      <c r="D277" s="32"/>
      <c r="E277" s="32"/>
      <c r="F277" s="32"/>
    </row>
    <row r="278" spans="1:6" ht="14.25">
      <c r="A278" s="32"/>
      <c r="B278" s="32"/>
      <c r="C278" s="32"/>
      <c r="D278" s="32"/>
      <c r="E278" s="32"/>
      <c r="F278" s="32"/>
    </row>
    <row r="279" spans="1:6" ht="14.25">
      <c r="A279" s="32"/>
      <c r="B279" s="32"/>
      <c r="C279" s="32"/>
      <c r="D279" s="32"/>
      <c r="E279" s="32"/>
      <c r="F279" s="32"/>
    </row>
    <row r="280" spans="1:6" ht="14.25">
      <c r="A280" s="32"/>
      <c r="B280" s="32"/>
      <c r="C280" s="32"/>
      <c r="D280" s="32"/>
      <c r="E280" s="32"/>
      <c r="F280" s="32"/>
    </row>
    <row r="281" spans="1:6" ht="14.25">
      <c r="A281" s="32"/>
      <c r="B281" s="32"/>
      <c r="C281" s="32"/>
      <c r="D281" s="32"/>
      <c r="E281" s="32"/>
      <c r="F281" s="32"/>
    </row>
    <row r="282" spans="1:6" ht="14.25">
      <c r="A282" s="32"/>
      <c r="B282" s="32"/>
      <c r="C282" s="32"/>
      <c r="D282" s="32"/>
      <c r="E282" s="32"/>
      <c r="F282" s="32"/>
    </row>
    <row r="283" spans="1:6" ht="14.25">
      <c r="A283" s="32"/>
      <c r="B283" s="32"/>
      <c r="C283" s="32"/>
      <c r="D283" s="32"/>
      <c r="E283" s="32"/>
      <c r="F283" s="32"/>
    </row>
    <row r="284" spans="1:6" ht="14.25">
      <c r="A284" s="32"/>
      <c r="B284" s="32"/>
      <c r="C284" s="32"/>
      <c r="D284" s="32"/>
      <c r="E284" s="32"/>
      <c r="F284" s="32"/>
    </row>
    <row r="285" spans="1:6" ht="14.25">
      <c r="A285" s="32"/>
      <c r="B285" s="32"/>
      <c r="C285" s="32"/>
      <c r="D285" s="32"/>
      <c r="E285" s="32"/>
      <c r="F285" s="32"/>
    </row>
    <row r="286" spans="1:6" ht="14.25">
      <c r="A286" s="32"/>
      <c r="B286" s="32"/>
      <c r="C286" s="32"/>
      <c r="D286" s="32"/>
      <c r="E286" s="32"/>
      <c r="F286" s="32"/>
    </row>
    <row r="287" spans="1:6" ht="14.25">
      <c r="A287" s="32"/>
      <c r="B287" s="32"/>
      <c r="C287" s="32"/>
      <c r="D287" s="32"/>
      <c r="E287" s="32"/>
      <c r="F287" s="32"/>
    </row>
    <row r="288" spans="1:6" ht="14.25">
      <c r="A288" s="32"/>
      <c r="B288" s="32"/>
      <c r="C288" s="32"/>
      <c r="D288" s="32"/>
      <c r="E288" s="32"/>
      <c r="F288" s="32"/>
    </row>
    <row r="289" spans="1:6" ht="14.25">
      <c r="A289" s="32"/>
      <c r="B289" s="32"/>
      <c r="C289" s="32"/>
      <c r="D289" s="32"/>
      <c r="E289" s="32"/>
      <c r="F289" s="32"/>
    </row>
    <row r="290" spans="1:6" ht="14.25">
      <c r="A290" s="32"/>
      <c r="B290" s="32"/>
      <c r="C290" s="32"/>
      <c r="D290" s="32"/>
      <c r="E290" s="32"/>
      <c r="F290" s="32"/>
    </row>
    <row r="291" spans="1:6" ht="14.25">
      <c r="A291" s="32"/>
      <c r="B291" s="32"/>
      <c r="C291" s="32"/>
      <c r="D291" s="32"/>
      <c r="E291" s="32"/>
      <c r="F291" s="32"/>
    </row>
    <row r="292" spans="1:6" ht="14.25">
      <c r="A292" s="32"/>
      <c r="B292" s="32"/>
      <c r="C292" s="32"/>
      <c r="D292" s="32"/>
      <c r="E292" s="32"/>
      <c r="F292" s="32"/>
    </row>
    <row r="293" spans="1:6" ht="14.25">
      <c r="A293" s="32"/>
      <c r="B293" s="32"/>
      <c r="C293" s="32"/>
      <c r="D293" s="32"/>
      <c r="E293" s="32"/>
      <c r="F293" s="32"/>
    </row>
    <row r="294" spans="1:6" ht="14.25">
      <c r="A294" s="32"/>
      <c r="B294" s="32"/>
      <c r="C294" s="32"/>
      <c r="D294" s="32"/>
      <c r="E294" s="32"/>
      <c r="F294" s="32"/>
    </row>
    <row r="295" spans="1:6" ht="14.25">
      <c r="A295" s="32"/>
      <c r="B295" s="32"/>
      <c r="C295" s="32"/>
      <c r="D295" s="32"/>
      <c r="E295" s="32"/>
      <c r="F295" s="32"/>
    </row>
    <row r="296" spans="1:6" ht="14.25">
      <c r="A296" s="32"/>
      <c r="B296" s="32"/>
      <c r="C296" s="32"/>
      <c r="D296" s="32"/>
      <c r="E296" s="32"/>
      <c r="F296" s="32"/>
    </row>
    <row r="297" spans="1:6" ht="14.25">
      <c r="A297" s="32"/>
      <c r="B297" s="32"/>
      <c r="C297" s="32"/>
      <c r="D297" s="32"/>
      <c r="E297" s="32"/>
      <c r="F297" s="32"/>
    </row>
    <row r="298" spans="1:6" ht="14.25">
      <c r="A298" s="32"/>
      <c r="B298" s="32"/>
      <c r="C298" s="32"/>
      <c r="D298" s="32"/>
      <c r="E298" s="32"/>
      <c r="F298" s="32"/>
    </row>
    <row r="299" spans="1:6" ht="14.25">
      <c r="A299" s="32"/>
      <c r="B299" s="32"/>
      <c r="C299" s="32"/>
      <c r="D299" s="32"/>
      <c r="E299" s="32"/>
      <c r="F299" s="32"/>
    </row>
    <row r="300" spans="1:6" ht="14.25">
      <c r="A300" s="32"/>
      <c r="B300" s="32"/>
      <c r="C300" s="32"/>
      <c r="D300" s="32"/>
      <c r="E300" s="32"/>
      <c r="F300" s="32"/>
    </row>
    <row r="301" spans="1:6" ht="14.25">
      <c r="A301" s="32"/>
      <c r="B301" s="32"/>
      <c r="C301" s="32"/>
      <c r="D301" s="32"/>
      <c r="E301" s="32"/>
      <c r="F301" s="32"/>
    </row>
    <row r="302" spans="1:6" ht="14.25">
      <c r="A302" s="32"/>
      <c r="B302" s="32"/>
      <c r="C302" s="32"/>
      <c r="D302" s="32"/>
      <c r="E302" s="32"/>
      <c r="F302" s="32"/>
    </row>
    <row r="303" spans="1:6" ht="14.25">
      <c r="A303" s="32"/>
      <c r="B303" s="32"/>
      <c r="C303" s="32"/>
      <c r="D303" s="32"/>
      <c r="E303" s="32"/>
      <c r="F303" s="32"/>
    </row>
    <row r="304" spans="1:6" ht="14.25">
      <c r="A304" s="32"/>
      <c r="B304" s="32"/>
      <c r="C304" s="32"/>
      <c r="D304" s="32"/>
      <c r="E304" s="32"/>
      <c r="F304" s="32"/>
    </row>
    <row r="305" spans="1:6" ht="14.25">
      <c r="A305" s="32"/>
      <c r="B305" s="32"/>
      <c r="C305" s="32"/>
      <c r="D305" s="32"/>
      <c r="E305" s="32"/>
      <c r="F305" s="32"/>
    </row>
    <row r="306" spans="1:6" ht="14.25">
      <c r="A306" s="32"/>
      <c r="B306" s="32"/>
      <c r="C306" s="32"/>
      <c r="D306" s="32"/>
      <c r="E306" s="32"/>
      <c r="F306" s="32"/>
    </row>
    <row r="307" spans="1:6" ht="14.25">
      <c r="A307" s="32"/>
      <c r="B307" s="32"/>
      <c r="C307" s="32"/>
      <c r="D307" s="32"/>
      <c r="E307" s="32"/>
      <c r="F307" s="32"/>
    </row>
    <row r="308" spans="1:6" ht="14.25">
      <c r="A308" s="32"/>
      <c r="B308" s="32"/>
      <c r="C308" s="32"/>
      <c r="D308" s="32"/>
      <c r="E308" s="32"/>
      <c r="F308" s="32"/>
    </row>
    <row r="309" spans="1:6" ht="14.25">
      <c r="A309" s="32"/>
      <c r="B309" s="32"/>
      <c r="C309" s="32"/>
      <c r="D309" s="32"/>
      <c r="E309" s="32"/>
      <c r="F309" s="32"/>
    </row>
    <row r="310" spans="1:6" ht="14.25">
      <c r="A310" s="32"/>
      <c r="B310" s="32"/>
      <c r="C310" s="32"/>
      <c r="D310" s="32"/>
      <c r="E310" s="32"/>
      <c r="F310" s="32"/>
    </row>
    <row r="311" spans="1:6" ht="14.25">
      <c r="A311" s="32"/>
      <c r="B311" s="32"/>
      <c r="C311" s="32"/>
      <c r="D311" s="32"/>
      <c r="E311" s="32"/>
      <c r="F311" s="32"/>
    </row>
    <row r="312" spans="1:6" ht="14.25">
      <c r="A312" s="32"/>
      <c r="B312" s="32"/>
      <c r="C312" s="32"/>
      <c r="D312" s="32"/>
      <c r="E312" s="32"/>
      <c r="F312" s="32"/>
    </row>
    <row r="313" spans="1:6" ht="14.25">
      <c r="A313" s="32"/>
      <c r="B313" s="32"/>
      <c r="C313" s="32"/>
      <c r="D313" s="32"/>
      <c r="E313" s="32"/>
      <c r="F313" s="32"/>
    </row>
    <row r="314" spans="1:6" ht="14.25">
      <c r="A314" s="32"/>
      <c r="B314" s="32"/>
      <c r="C314" s="32"/>
      <c r="D314" s="32"/>
      <c r="E314" s="32"/>
      <c r="F314" s="32"/>
    </row>
    <row r="315" spans="1:6" ht="14.25">
      <c r="A315" s="32"/>
      <c r="B315" s="32"/>
      <c r="C315" s="32"/>
      <c r="D315" s="32"/>
      <c r="E315" s="32"/>
      <c r="F315" s="32"/>
    </row>
    <row r="316" spans="1:6" ht="14.25">
      <c r="A316" s="32"/>
      <c r="B316" s="32"/>
      <c r="C316" s="32"/>
      <c r="D316" s="32"/>
      <c r="E316" s="32"/>
      <c r="F316" s="32"/>
    </row>
    <row r="317" spans="1:6" ht="14.25">
      <c r="A317" s="32"/>
      <c r="B317" s="32"/>
      <c r="C317" s="32"/>
      <c r="D317" s="32"/>
      <c r="E317" s="32"/>
      <c r="F317" s="32"/>
    </row>
    <row r="318" spans="1:6" ht="14.25">
      <c r="A318" s="32"/>
      <c r="B318" s="32"/>
      <c r="C318" s="32"/>
      <c r="D318" s="32"/>
      <c r="E318" s="32"/>
      <c r="F318" s="32"/>
    </row>
    <row r="319" spans="1:6" ht="14.25">
      <c r="A319" s="32"/>
      <c r="B319" s="32"/>
      <c r="C319" s="32"/>
      <c r="D319" s="32"/>
      <c r="E319" s="32"/>
      <c r="F319" s="32"/>
    </row>
    <row r="320" spans="1:6" ht="14.25">
      <c r="A320" s="32"/>
      <c r="B320" s="32"/>
      <c r="C320" s="32"/>
      <c r="D320" s="32"/>
      <c r="E320" s="32"/>
      <c r="F320" s="32"/>
    </row>
    <row r="321" spans="1:6" ht="14.25">
      <c r="A321" s="32"/>
      <c r="B321" s="32"/>
      <c r="C321" s="32"/>
      <c r="D321" s="32"/>
      <c r="E321" s="32"/>
      <c r="F321" s="32"/>
    </row>
    <row r="322" spans="1:6" ht="14.25">
      <c r="A322" s="32"/>
      <c r="B322" s="32"/>
      <c r="C322" s="32"/>
      <c r="D322" s="32"/>
      <c r="E322" s="32"/>
      <c r="F322" s="32"/>
    </row>
    <row r="323" spans="1:6" ht="14.25">
      <c r="A323" s="32"/>
      <c r="B323" s="32"/>
      <c r="C323" s="32"/>
      <c r="D323" s="32"/>
      <c r="E323" s="32"/>
      <c r="F323" s="32"/>
    </row>
    <row r="324" spans="1:6" ht="14.25">
      <c r="A324" s="32"/>
      <c r="B324" s="32"/>
      <c r="C324" s="32"/>
      <c r="D324" s="32"/>
      <c r="E324" s="32"/>
      <c r="F324" s="32"/>
    </row>
    <row r="325" spans="1:6" ht="14.25">
      <c r="A325" s="32"/>
      <c r="B325" s="32"/>
      <c r="C325" s="32"/>
      <c r="D325" s="32"/>
      <c r="E325" s="32"/>
      <c r="F325" s="32"/>
    </row>
    <row r="326" spans="1:6" ht="14.25">
      <c r="A326" s="32"/>
      <c r="B326" s="32"/>
      <c r="C326" s="32"/>
      <c r="D326" s="32"/>
      <c r="E326" s="32"/>
      <c r="F326" s="32"/>
    </row>
    <row r="327" spans="1:6" ht="14.25">
      <c r="A327" s="32"/>
      <c r="B327" s="32"/>
      <c r="C327" s="32"/>
      <c r="D327" s="32"/>
      <c r="E327" s="32"/>
      <c r="F327" s="32"/>
    </row>
    <row r="328" spans="1:6" ht="14.25">
      <c r="A328" s="32"/>
      <c r="B328" s="32"/>
      <c r="C328" s="32"/>
      <c r="D328" s="32"/>
      <c r="E328" s="32"/>
      <c r="F328" s="32"/>
    </row>
    <row r="329" spans="1:6" ht="14.25">
      <c r="A329" s="32"/>
      <c r="B329" s="32"/>
      <c r="C329" s="32"/>
      <c r="D329" s="32"/>
      <c r="E329" s="32"/>
      <c r="F329" s="32"/>
    </row>
    <row r="330" spans="1:6" ht="14.25">
      <c r="A330" s="32"/>
      <c r="B330" s="32"/>
      <c r="C330" s="32"/>
      <c r="D330" s="32"/>
      <c r="E330" s="32"/>
      <c r="F330" s="32"/>
    </row>
    <row r="331" spans="1:6" ht="14.25">
      <c r="A331" s="32"/>
      <c r="B331" s="32"/>
      <c r="C331" s="32"/>
      <c r="D331" s="32"/>
      <c r="E331" s="32"/>
      <c r="F331" s="32"/>
    </row>
    <row r="332" spans="1:6" ht="14.25">
      <c r="A332" s="32"/>
      <c r="B332" s="32"/>
      <c r="C332" s="32"/>
      <c r="D332" s="32"/>
      <c r="E332" s="32"/>
      <c r="F332" s="32"/>
    </row>
    <row r="333" spans="1:6" ht="14.25">
      <c r="A333" s="32"/>
      <c r="B333" s="32"/>
      <c r="C333" s="32"/>
      <c r="D333" s="32"/>
      <c r="E333" s="32"/>
      <c r="F333" s="32"/>
    </row>
    <row r="334" spans="1:6" ht="14.25">
      <c r="A334" s="32"/>
      <c r="B334" s="32"/>
      <c r="C334" s="32"/>
      <c r="D334" s="32"/>
      <c r="E334" s="32"/>
      <c r="F334" s="32"/>
    </row>
    <row r="335" spans="1:6" ht="14.25">
      <c r="A335" s="32"/>
      <c r="B335" s="32"/>
      <c r="C335" s="32"/>
      <c r="D335" s="32"/>
      <c r="E335" s="32"/>
      <c r="F335" s="32"/>
    </row>
    <row r="336" spans="1:6" ht="14.25">
      <c r="A336" s="32"/>
      <c r="B336" s="32"/>
      <c r="C336" s="32"/>
      <c r="D336" s="32"/>
      <c r="E336" s="32"/>
      <c r="F336" s="32"/>
    </row>
    <row r="337" spans="1:6" ht="14.25">
      <c r="A337" s="32"/>
      <c r="B337" s="32"/>
      <c r="C337" s="32"/>
      <c r="D337" s="32"/>
      <c r="E337" s="32"/>
      <c r="F337" s="32"/>
    </row>
    <row r="338" spans="1:6" ht="14.25">
      <c r="A338" s="32"/>
      <c r="B338" s="32"/>
      <c r="C338" s="32"/>
      <c r="D338" s="32"/>
      <c r="E338" s="32"/>
      <c r="F338" s="32"/>
    </row>
    <row r="339" spans="1:6" ht="14.25">
      <c r="A339" s="32"/>
      <c r="B339" s="32"/>
      <c r="C339" s="32"/>
      <c r="D339" s="32"/>
      <c r="E339" s="32"/>
      <c r="F339" s="32"/>
    </row>
    <row r="340" spans="1:6" ht="14.25">
      <c r="A340" s="32"/>
      <c r="B340" s="32"/>
      <c r="C340" s="32"/>
      <c r="D340" s="32"/>
      <c r="E340" s="32"/>
      <c r="F340" s="32"/>
    </row>
    <row r="341" spans="1:6" ht="14.25">
      <c r="A341" s="32"/>
      <c r="B341" s="32"/>
      <c r="C341" s="32"/>
      <c r="D341" s="32"/>
      <c r="E341" s="32"/>
      <c r="F341" s="32"/>
    </row>
    <row r="342" spans="1:6" ht="14.25">
      <c r="A342" s="32"/>
      <c r="B342" s="32"/>
      <c r="C342" s="32"/>
      <c r="D342" s="32"/>
      <c r="E342" s="32"/>
      <c r="F342" s="32"/>
    </row>
    <row r="343" spans="1:6" ht="14.25">
      <c r="A343" s="32"/>
      <c r="B343" s="32"/>
      <c r="C343" s="32"/>
      <c r="D343" s="32"/>
      <c r="E343" s="32"/>
      <c r="F343" s="32"/>
    </row>
    <row r="344" spans="1:6" ht="14.25">
      <c r="A344" s="32"/>
      <c r="B344" s="32"/>
      <c r="C344" s="32"/>
      <c r="D344" s="32"/>
      <c r="E344" s="32"/>
      <c r="F344" s="32"/>
    </row>
    <row r="345" spans="1:6" ht="14.25">
      <c r="A345" s="32"/>
      <c r="B345" s="32"/>
      <c r="C345" s="32"/>
      <c r="D345" s="32"/>
      <c r="E345" s="32"/>
      <c r="F345" s="32"/>
    </row>
    <row r="346" spans="1:6" ht="14.25">
      <c r="A346" s="32"/>
      <c r="B346" s="32"/>
      <c r="C346" s="32"/>
      <c r="D346" s="32"/>
      <c r="E346" s="32"/>
      <c r="F346" s="32"/>
    </row>
    <row r="347" spans="1:6" ht="14.25">
      <c r="A347" s="32"/>
      <c r="B347" s="32"/>
      <c r="C347" s="32"/>
      <c r="D347" s="32"/>
      <c r="E347" s="32"/>
      <c r="F347" s="32"/>
    </row>
    <row r="348" spans="1:6" ht="14.25">
      <c r="A348" s="32"/>
      <c r="B348" s="32"/>
      <c r="C348" s="32"/>
      <c r="D348" s="32"/>
      <c r="E348" s="32"/>
      <c r="F348" s="32"/>
    </row>
    <row r="349" spans="1:6" ht="14.25">
      <c r="A349" s="32"/>
      <c r="B349" s="32"/>
      <c r="C349" s="32"/>
      <c r="D349" s="32"/>
      <c r="E349" s="32"/>
      <c r="F349" s="32"/>
    </row>
    <row r="350" spans="1:6" ht="14.25">
      <c r="A350" s="32"/>
      <c r="B350" s="32"/>
      <c r="C350" s="32"/>
      <c r="D350" s="32"/>
      <c r="E350" s="32"/>
      <c r="F350" s="32"/>
    </row>
    <row r="351" spans="1:6" ht="14.25">
      <c r="A351" s="32"/>
      <c r="B351" s="32"/>
      <c r="C351" s="32"/>
      <c r="D351" s="32"/>
      <c r="E351" s="32"/>
      <c r="F351" s="32"/>
    </row>
    <row r="352" spans="1:6" ht="14.25">
      <c r="A352" s="32"/>
      <c r="B352" s="32"/>
      <c r="C352" s="32"/>
      <c r="D352" s="32"/>
      <c r="E352" s="32"/>
      <c r="F352" s="32"/>
    </row>
    <row r="353" spans="1:6" ht="14.25">
      <c r="A353" s="32"/>
      <c r="B353" s="32"/>
      <c r="C353" s="32"/>
      <c r="D353" s="32"/>
      <c r="E353" s="32"/>
      <c r="F353" s="32"/>
    </row>
    <row r="354" spans="1:6" ht="14.25">
      <c r="A354" s="32"/>
      <c r="B354" s="32"/>
      <c r="C354" s="32"/>
      <c r="D354" s="32"/>
      <c r="E354" s="32"/>
      <c r="F354" s="32"/>
    </row>
    <row r="355" spans="1:6" ht="14.25">
      <c r="A355" s="32"/>
      <c r="B355" s="32"/>
      <c r="C355" s="32"/>
      <c r="D355" s="32"/>
      <c r="E355" s="32"/>
      <c r="F355" s="32"/>
    </row>
    <row r="356" spans="1:6" ht="14.25">
      <c r="A356" s="32"/>
      <c r="B356" s="32"/>
      <c r="C356" s="32"/>
      <c r="D356" s="32"/>
      <c r="E356" s="32"/>
      <c r="F356" s="32"/>
    </row>
    <row r="357" spans="1:6" ht="14.25">
      <c r="A357" s="32"/>
      <c r="B357" s="32"/>
      <c r="C357" s="32"/>
      <c r="D357" s="32"/>
      <c r="E357" s="32"/>
      <c r="F357" s="32"/>
    </row>
    <row r="358" spans="1:6" ht="14.25">
      <c r="A358" s="32"/>
      <c r="B358" s="32"/>
      <c r="C358" s="32"/>
      <c r="D358" s="32"/>
      <c r="E358" s="32"/>
      <c r="F358" s="32"/>
    </row>
    <row r="359" spans="1:6" ht="14.25">
      <c r="A359" s="32"/>
      <c r="B359" s="32"/>
      <c r="C359" s="32"/>
      <c r="D359" s="32"/>
      <c r="E359" s="32"/>
      <c r="F359" s="32"/>
    </row>
    <row r="360" spans="1:6" ht="14.25">
      <c r="A360" s="32"/>
      <c r="B360" s="32"/>
      <c r="C360" s="32"/>
      <c r="D360" s="32"/>
      <c r="E360" s="32"/>
      <c r="F360" s="32"/>
    </row>
    <row r="361" spans="1:6" ht="14.25">
      <c r="A361" s="32"/>
      <c r="B361" s="32"/>
      <c r="C361" s="32"/>
      <c r="D361" s="32"/>
      <c r="E361" s="32"/>
      <c r="F361" s="32"/>
    </row>
    <row r="362" spans="1:6" ht="14.25">
      <c r="A362" s="32"/>
      <c r="B362" s="32"/>
      <c r="C362" s="32"/>
      <c r="D362" s="32"/>
      <c r="E362" s="32"/>
      <c r="F362" s="32"/>
    </row>
    <row r="363" spans="1:6" ht="14.25">
      <c r="A363" s="32"/>
      <c r="B363" s="32"/>
      <c r="C363" s="32"/>
      <c r="D363" s="32"/>
      <c r="E363" s="32"/>
      <c r="F363" s="32"/>
    </row>
    <row r="364" spans="1:6" ht="14.25">
      <c r="A364" s="32"/>
      <c r="B364" s="32"/>
      <c r="C364" s="32"/>
      <c r="D364" s="32"/>
      <c r="E364" s="32"/>
      <c r="F364" s="32"/>
    </row>
    <row r="365" spans="1:6" ht="14.25">
      <c r="A365" s="32"/>
      <c r="B365" s="32"/>
      <c r="C365" s="32"/>
      <c r="D365" s="32"/>
      <c r="E365" s="32"/>
      <c r="F365" s="32"/>
    </row>
    <row r="366" spans="1:6" ht="14.25">
      <c r="A366" s="32"/>
      <c r="B366" s="32"/>
      <c r="C366" s="32"/>
      <c r="D366" s="32"/>
      <c r="E366" s="32"/>
      <c r="F366" s="32"/>
    </row>
    <row r="367" spans="1:6" ht="14.25">
      <c r="A367" s="32"/>
      <c r="B367" s="32"/>
      <c r="C367" s="32"/>
      <c r="D367" s="32"/>
      <c r="E367" s="32"/>
      <c r="F367" s="32"/>
    </row>
    <row r="368" spans="1:6" ht="14.25">
      <c r="A368" s="32"/>
      <c r="B368" s="32"/>
      <c r="C368" s="32"/>
      <c r="D368" s="32"/>
      <c r="E368" s="32"/>
      <c r="F368" s="32"/>
    </row>
    <row r="369" spans="1:6" ht="14.25">
      <c r="A369" s="32"/>
      <c r="B369" s="32"/>
      <c r="C369" s="32"/>
      <c r="D369" s="32"/>
      <c r="E369" s="32"/>
      <c r="F369" s="32"/>
    </row>
    <row r="370" spans="1:6" ht="14.25">
      <c r="A370" s="32"/>
      <c r="B370" s="32"/>
      <c r="C370" s="32"/>
      <c r="D370" s="32"/>
      <c r="E370" s="32"/>
      <c r="F370" s="32"/>
    </row>
    <row r="371" spans="1:6" ht="14.25">
      <c r="A371" s="32"/>
      <c r="B371" s="32"/>
      <c r="C371" s="32"/>
      <c r="D371" s="32"/>
      <c r="E371" s="32"/>
      <c r="F371" s="32"/>
    </row>
    <row r="372" spans="1:6" ht="14.25">
      <c r="A372" s="32"/>
      <c r="B372" s="32"/>
      <c r="C372" s="32"/>
      <c r="D372" s="32"/>
      <c r="E372" s="32"/>
      <c r="F372" s="32"/>
    </row>
    <row r="373" spans="1:6" ht="14.25">
      <c r="A373" s="32"/>
      <c r="B373" s="32"/>
      <c r="C373" s="32"/>
      <c r="D373" s="32"/>
      <c r="E373" s="32"/>
      <c r="F373" s="32"/>
    </row>
    <row r="374" spans="1:6" ht="14.25">
      <c r="A374" s="32"/>
      <c r="B374" s="32"/>
      <c r="C374" s="32"/>
      <c r="D374" s="32"/>
      <c r="E374" s="32"/>
      <c r="F374" s="32"/>
    </row>
    <row r="375" spans="1:6" ht="14.25">
      <c r="A375" s="32"/>
      <c r="B375" s="32"/>
      <c r="C375" s="32"/>
      <c r="D375" s="32"/>
      <c r="E375" s="32"/>
      <c r="F375" s="32"/>
    </row>
    <row r="376" spans="1:6" ht="14.25">
      <c r="A376" s="32"/>
      <c r="B376" s="32"/>
      <c r="C376" s="32"/>
      <c r="D376" s="32"/>
      <c r="E376" s="32"/>
      <c r="F376" s="32"/>
    </row>
    <row r="377" spans="1:6" ht="14.25">
      <c r="A377" s="32"/>
      <c r="B377" s="32"/>
      <c r="C377" s="32"/>
      <c r="D377" s="32"/>
      <c r="E377" s="32"/>
      <c r="F377" s="32"/>
    </row>
    <row r="378" spans="1:6" ht="14.25">
      <c r="A378" s="32"/>
      <c r="B378" s="32"/>
      <c r="C378" s="32"/>
      <c r="D378" s="32"/>
      <c r="E378" s="32"/>
      <c r="F378" s="32"/>
    </row>
    <row r="379" spans="1:6" ht="14.25">
      <c r="A379" s="32"/>
      <c r="B379" s="32"/>
      <c r="C379" s="32"/>
      <c r="D379" s="32"/>
      <c r="E379" s="32"/>
      <c r="F379" s="32"/>
    </row>
    <row r="380" spans="1:6" ht="14.25">
      <c r="A380" s="32"/>
      <c r="B380" s="32"/>
      <c r="C380" s="32"/>
      <c r="D380" s="32"/>
      <c r="E380" s="32"/>
      <c r="F380" s="32"/>
    </row>
    <row r="381" spans="1:6" ht="14.25">
      <c r="A381" s="32"/>
      <c r="B381" s="32"/>
      <c r="C381" s="32"/>
      <c r="D381" s="32"/>
      <c r="E381" s="32"/>
      <c r="F381" s="32"/>
    </row>
    <row r="382" spans="1:6" ht="14.25">
      <c r="A382" s="32"/>
      <c r="B382" s="32"/>
      <c r="C382" s="32"/>
      <c r="D382" s="32"/>
      <c r="E382" s="32"/>
      <c r="F382" s="32"/>
    </row>
    <row r="383" spans="1:6" ht="14.25">
      <c r="A383" s="32"/>
      <c r="B383" s="32"/>
      <c r="C383" s="32"/>
      <c r="D383" s="32"/>
      <c r="E383" s="32"/>
      <c r="F383" s="32"/>
    </row>
    <row r="384" spans="1:6" ht="14.25">
      <c r="A384" s="32"/>
      <c r="B384" s="32"/>
      <c r="C384" s="32"/>
      <c r="D384" s="32"/>
      <c r="E384" s="32"/>
      <c r="F384" s="32"/>
    </row>
    <row r="385" spans="1:6" ht="14.25">
      <c r="A385" s="32"/>
      <c r="B385" s="32"/>
      <c r="C385" s="32"/>
      <c r="D385" s="32"/>
      <c r="E385" s="32"/>
      <c r="F385" s="32"/>
    </row>
    <row r="386" spans="1:6" ht="14.25">
      <c r="A386" s="32"/>
      <c r="B386" s="32"/>
      <c r="C386" s="32"/>
      <c r="D386" s="32"/>
      <c r="E386" s="32"/>
      <c r="F386" s="32"/>
    </row>
    <row r="387" spans="1:6" ht="14.25">
      <c r="A387" s="32"/>
      <c r="B387" s="32"/>
      <c r="C387" s="32"/>
      <c r="D387" s="32"/>
      <c r="E387" s="32"/>
      <c r="F387" s="32"/>
    </row>
    <row r="388" spans="1:6" ht="14.25">
      <c r="A388" s="32"/>
      <c r="B388" s="32"/>
      <c r="C388" s="32"/>
      <c r="D388" s="32"/>
      <c r="E388" s="32"/>
      <c r="F388" s="32"/>
    </row>
    <row r="389" spans="1:6" ht="14.25">
      <c r="A389" s="32"/>
      <c r="B389" s="32"/>
      <c r="C389" s="32"/>
      <c r="D389" s="32"/>
      <c r="E389" s="32"/>
      <c r="F389" s="32"/>
    </row>
    <row r="390" spans="1:6" ht="14.25">
      <c r="A390" s="32"/>
      <c r="B390" s="32"/>
      <c r="C390" s="32"/>
      <c r="D390" s="32"/>
      <c r="E390" s="32"/>
      <c r="F390" s="32"/>
    </row>
    <row r="391" spans="1:6" ht="14.25">
      <c r="A391" s="32"/>
      <c r="B391" s="32"/>
      <c r="C391" s="32"/>
      <c r="D391" s="32"/>
      <c r="E391" s="32"/>
      <c r="F391" s="32"/>
    </row>
    <row r="392" spans="1:6" ht="14.25">
      <c r="A392" s="32"/>
      <c r="B392" s="32"/>
      <c r="C392" s="32"/>
      <c r="D392" s="32"/>
      <c r="E392" s="32"/>
      <c r="F392" s="32"/>
    </row>
    <row r="393" spans="1:6" ht="14.25">
      <c r="A393" s="32"/>
      <c r="B393" s="32"/>
      <c r="C393" s="32"/>
      <c r="D393" s="32"/>
      <c r="E393" s="32"/>
      <c r="F393" s="32"/>
    </row>
    <row r="394" spans="1:6" ht="14.25">
      <c r="A394" s="32"/>
      <c r="B394" s="32"/>
      <c r="C394" s="32"/>
      <c r="D394" s="32"/>
      <c r="E394" s="32"/>
      <c r="F394" s="32"/>
    </row>
    <row r="395" spans="1:6" ht="14.25">
      <c r="A395" s="32"/>
      <c r="B395" s="32"/>
      <c r="C395" s="32"/>
      <c r="D395" s="32"/>
      <c r="E395" s="32"/>
      <c r="F395" s="32"/>
    </row>
    <row r="396" spans="1:6" ht="14.25">
      <c r="A396" s="32"/>
      <c r="B396" s="32"/>
      <c r="C396" s="32"/>
      <c r="D396" s="32"/>
      <c r="E396" s="32"/>
      <c r="F396" s="32"/>
    </row>
    <row r="397" spans="1:6" ht="14.25">
      <c r="A397" s="32"/>
      <c r="B397" s="32"/>
      <c r="C397" s="32"/>
      <c r="D397" s="32"/>
      <c r="E397" s="32"/>
      <c r="F397" s="32"/>
    </row>
    <row r="398" spans="1:6" ht="14.25">
      <c r="A398" s="32"/>
      <c r="B398" s="32"/>
      <c r="C398" s="32"/>
      <c r="D398" s="32"/>
      <c r="E398" s="32"/>
      <c r="F398" s="32"/>
    </row>
    <row r="399" spans="1:6" ht="14.25">
      <c r="A399" s="32"/>
      <c r="B399" s="32"/>
      <c r="C399" s="32"/>
      <c r="D399" s="32"/>
      <c r="E399" s="32"/>
      <c r="F399" s="32"/>
    </row>
    <row r="400" spans="1:6" ht="14.25">
      <c r="A400" s="32"/>
      <c r="B400" s="32"/>
      <c r="C400" s="32"/>
      <c r="D400" s="32"/>
      <c r="E400" s="32"/>
      <c r="F400" s="32"/>
    </row>
    <row r="401" spans="1:6" ht="14.25">
      <c r="A401" s="32"/>
      <c r="B401" s="32"/>
      <c r="C401" s="32"/>
      <c r="D401" s="32"/>
      <c r="E401" s="32"/>
      <c r="F401" s="32"/>
    </row>
    <row r="402" spans="1:6" ht="14.25">
      <c r="A402" s="32"/>
      <c r="B402" s="32"/>
      <c r="C402" s="32"/>
      <c r="D402" s="32"/>
      <c r="E402" s="32"/>
      <c r="F402" s="32"/>
    </row>
    <row r="403" spans="1:6" ht="14.25">
      <c r="A403" s="32"/>
      <c r="B403" s="32"/>
      <c r="C403" s="32"/>
      <c r="D403" s="32"/>
      <c r="E403" s="32"/>
      <c r="F403" s="32"/>
    </row>
    <row r="404" spans="1:6" ht="14.25">
      <c r="A404" s="32"/>
      <c r="B404" s="32"/>
      <c r="C404" s="32"/>
      <c r="D404" s="32"/>
      <c r="E404" s="32"/>
      <c r="F404" s="32"/>
    </row>
    <row r="405" spans="1:6" ht="14.25">
      <c r="A405" s="32"/>
      <c r="B405" s="32"/>
      <c r="C405" s="32"/>
      <c r="D405" s="32"/>
      <c r="E405" s="32"/>
      <c r="F405" s="32"/>
    </row>
    <row r="406" spans="1:6" ht="14.25">
      <c r="A406" s="32"/>
      <c r="B406" s="32"/>
      <c r="C406" s="32"/>
      <c r="D406" s="32"/>
      <c r="E406" s="32"/>
      <c r="F406" s="32"/>
    </row>
    <row r="407" spans="1:6" ht="14.25">
      <c r="A407" s="32"/>
      <c r="B407" s="32"/>
      <c r="C407" s="32"/>
      <c r="D407" s="32"/>
      <c r="E407" s="32"/>
      <c r="F407" s="32"/>
    </row>
    <row r="408" spans="1:6" ht="14.25">
      <c r="A408" s="32"/>
      <c r="B408" s="32"/>
      <c r="C408" s="32"/>
      <c r="D408" s="32"/>
      <c r="E408" s="32"/>
      <c r="F408" s="32"/>
    </row>
    <row r="409" spans="1:6" ht="14.25">
      <c r="A409" s="32"/>
      <c r="B409" s="32"/>
      <c r="C409" s="32"/>
      <c r="D409" s="32"/>
      <c r="E409" s="32"/>
      <c r="F409" s="32"/>
    </row>
    <row r="410" spans="1:6" ht="14.25">
      <c r="A410" s="32"/>
      <c r="B410" s="32"/>
      <c r="C410" s="32"/>
      <c r="D410" s="32"/>
      <c r="E410" s="32"/>
      <c r="F410" s="32"/>
    </row>
    <row r="411" spans="1:6" ht="14.25">
      <c r="A411" s="32"/>
      <c r="B411" s="32"/>
      <c r="C411" s="32"/>
      <c r="D411" s="32"/>
      <c r="E411" s="32"/>
      <c r="F411" s="32"/>
    </row>
    <row r="412" spans="1:6" ht="14.25">
      <c r="A412" s="32"/>
      <c r="B412" s="32"/>
      <c r="C412" s="32"/>
      <c r="D412" s="32"/>
      <c r="E412" s="32"/>
      <c r="F412" s="32"/>
    </row>
    <row r="413" spans="1:6" ht="14.25">
      <c r="A413" s="32"/>
      <c r="B413" s="32"/>
      <c r="C413" s="32"/>
      <c r="D413" s="32"/>
      <c r="E413" s="32"/>
      <c r="F413" s="32"/>
    </row>
    <row r="414" spans="1:6" ht="14.25">
      <c r="A414" s="32"/>
      <c r="B414" s="32"/>
      <c r="C414" s="32"/>
      <c r="D414" s="32"/>
      <c r="E414" s="32"/>
      <c r="F414" s="32"/>
    </row>
    <row r="415" spans="1:6" ht="14.25">
      <c r="A415" s="32"/>
      <c r="B415" s="32"/>
      <c r="C415" s="32"/>
      <c r="D415" s="32"/>
      <c r="E415" s="32"/>
      <c r="F415" s="32"/>
    </row>
    <row r="416" spans="1:6" ht="14.25">
      <c r="A416" s="32"/>
      <c r="B416" s="32"/>
      <c r="C416" s="32"/>
      <c r="D416" s="32"/>
      <c r="E416" s="32"/>
      <c r="F416" s="32"/>
    </row>
    <row r="417" spans="1:6" ht="14.25">
      <c r="A417" s="32"/>
      <c r="B417" s="32"/>
      <c r="C417" s="32"/>
      <c r="D417" s="32"/>
      <c r="E417" s="32"/>
      <c r="F417" s="32"/>
    </row>
    <row r="418" spans="1:6" ht="14.25">
      <c r="A418" s="32"/>
      <c r="B418" s="32"/>
      <c r="C418" s="32"/>
      <c r="D418" s="32"/>
      <c r="E418" s="32"/>
      <c r="F418" s="32"/>
    </row>
    <row r="419" spans="1:6" ht="14.25">
      <c r="A419" s="32"/>
      <c r="B419" s="32"/>
      <c r="C419" s="32"/>
      <c r="D419" s="32"/>
      <c r="E419" s="32"/>
      <c r="F419" s="32"/>
    </row>
    <row r="420" spans="1:6" ht="14.25">
      <c r="A420" s="32"/>
      <c r="B420" s="32"/>
      <c r="C420" s="32"/>
      <c r="D420" s="32"/>
      <c r="E420" s="32"/>
      <c r="F420" s="32"/>
    </row>
    <row r="421" spans="1:6" ht="14.25">
      <c r="A421" s="32"/>
      <c r="B421" s="32"/>
      <c r="C421" s="32"/>
      <c r="D421" s="32"/>
      <c r="E421" s="32"/>
      <c r="F421" s="32"/>
    </row>
    <row r="422" spans="1:6" ht="14.25">
      <c r="A422" s="32"/>
      <c r="B422" s="32"/>
      <c r="C422" s="32"/>
      <c r="D422" s="32"/>
      <c r="E422" s="32"/>
      <c r="F422" s="32"/>
    </row>
    <row r="423" spans="1:6" ht="14.25">
      <c r="A423" s="32"/>
      <c r="B423" s="32"/>
      <c r="C423" s="32"/>
      <c r="D423" s="32"/>
      <c r="E423" s="32"/>
      <c r="F423" s="32"/>
    </row>
    <row r="424" spans="1:6" ht="14.25">
      <c r="A424" s="32"/>
      <c r="B424" s="32"/>
      <c r="C424" s="32"/>
      <c r="D424" s="32"/>
      <c r="E424" s="32"/>
      <c r="F424" s="32"/>
    </row>
    <row r="425" spans="1:6" ht="14.25">
      <c r="A425" s="32"/>
      <c r="B425" s="32"/>
      <c r="C425" s="32"/>
      <c r="D425" s="32"/>
      <c r="E425" s="32"/>
      <c r="F425" s="32"/>
    </row>
    <row r="426" spans="1:6" ht="14.25">
      <c r="A426" s="32"/>
      <c r="B426" s="32"/>
      <c r="C426" s="32"/>
      <c r="D426" s="32"/>
      <c r="E426" s="32"/>
      <c r="F426" s="32"/>
    </row>
    <row r="427" spans="1:6" ht="14.25">
      <c r="A427" s="32"/>
      <c r="B427" s="32"/>
      <c r="C427" s="32"/>
      <c r="D427" s="32"/>
      <c r="E427" s="32"/>
      <c r="F427" s="32"/>
    </row>
    <row r="428" spans="1:6" ht="14.25">
      <c r="A428" s="32"/>
      <c r="B428" s="32"/>
      <c r="C428" s="32"/>
      <c r="D428" s="32"/>
      <c r="E428" s="32"/>
      <c r="F428" s="32"/>
    </row>
    <row r="429" spans="1:6" ht="14.25">
      <c r="A429" s="32"/>
      <c r="B429" s="32"/>
      <c r="C429" s="32"/>
      <c r="D429" s="32"/>
      <c r="E429" s="32"/>
      <c r="F429" s="32"/>
    </row>
    <row r="430" spans="1:6" ht="14.25">
      <c r="A430" s="32"/>
      <c r="B430" s="32"/>
      <c r="C430" s="32"/>
      <c r="D430" s="32"/>
      <c r="E430" s="32"/>
      <c r="F430" s="32"/>
    </row>
    <row r="431" spans="1:6" ht="14.25">
      <c r="A431" s="32"/>
      <c r="B431" s="32"/>
      <c r="C431" s="32"/>
      <c r="D431" s="32"/>
      <c r="E431" s="32"/>
      <c r="F431" s="32"/>
    </row>
    <row r="432" spans="1:6" ht="14.25">
      <c r="A432" s="32"/>
      <c r="B432" s="32"/>
      <c r="C432" s="32"/>
      <c r="D432" s="32"/>
      <c r="E432" s="32"/>
      <c r="F432" s="32"/>
    </row>
    <row r="433" spans="1:6" ht="14.25">
      <c r="A433" s="32"/>
      <c r="B433" s="32"/>
      <c r="C433" s="32"/>
      <c r="D433" s="32"/>
      <c r="E433" s="32"/>
      <c r="F433" s="32"/>
    </row>
    <row r="434" spans="1:6" ht="14.25">
      <c r="A434" s="32"/>
      <c r="B434" s="32"/>
      <c r="C434" s="32"/>
      <c r="D434" s="32"/>
      <c r="E434" s="32"/>
      <c r="F434" s="32"/>
    </row>
    <row r="435" spans="1:6" ht="14.25">
      <c r="A435" s="32"/>
      <c r="B435" s="32"/>
      <c r="C435" s="32"/>
      <c r="D435" s="32"/>
      <c r="E435" s="32"/>
      <c r="F435" s="32"/>
    </row>
    <row r="436" spans="1:6" ht="14.25">
      <c r="A436" s="32"/>
      <c r="B436" s="32"/>
      <c r="C436" s="32"/>
      <c r="D436" s="32"/>
      <c r="E436" s="32"/>
      <c r="F436" s="32"/>
    </row>
    <row r="437" spans="1:6" ht="14.25">
      <c r="A437" s="32"/>
      <c r="B437" s="32"/>
      <c r="C437" s="32"/>
      <c r="D437" s="32"/>
      <c r="E437" s="32"/>
      <c r="F437" s="32"/>
    </row>
    <row r="438" spans="1:6" ht="14.25">
      <c r="A438" s="32"/>
      <c r="B438" s="32"/>
      <c r="C438" s="32"/>
      <c r="D438" s="32"/>
      <c r="E438" s="32"/>
      <c r="F438" s="32"/>
    </row>
    <row r="439" spans="1:6" ht="14.25">
      <c r="A439" s="32"/>
      <c r="B439" s="32"/>
      <c r="C439" s="32"/>
      <c r="D439" s="32"/>
      <c r="E439" s="32"/>
      <c r="F439" s="32"/>
    </row>
    <row r="440" spans="1:6" ht="14.25">
      <c r="A440" s="32"/>
      <c r="B440" s="32"/>
      <c r="C440" s="32"/>
      <c r="D440" s="32"/>
      <c r="E440" s="32"/>
      <c r="F440" s="32"/>
    </row>
    <row r="441" spans="1:6" ht="14.25">
      <c r="A441" s="32"/>
      <c r="B441" s="32"/>
      <c r="C441" s="32"/>
      <c r="D441" s="32"/>
      <c r="E441" s="32"/>
      <c r="F441" s="32"/>
    </row>
    <row r="442" spans="1:6" ht="14.25">
      <c r="A442" s="32"/>
      <c r="B442" s="32"/>
      <c r="C442" s="32"/>
      <c r="D442" s="32"/>
      <c r="E442" s="32"/>
      <c r="F442" s="32"/>
    </row>
    <row r="443" spans="1:6" ht="14.25">
      <c r="A443" s="32"/>
      <c r="B443" s="32"/>
      <c r="C443" s="32"/>
      <c r="D443" s="32"/>
      <c r="E443" s="32"/>
      <c r="F443" s="32"/>
    </row>
    <row r="444" spans="1:6" ht="14.25">
      <c r="A444" s="32"/>
      <c r="B444" s="32"/>
      <c r="C444" s="32"/>
      <c r="D444" s="32"/>
      <c r="E444" s="32"/>
      <c r="F444" s="32"/>
    </row>
    <row r="445" spans="1:6" ht="14.25">
      <c r="A445" s="32"/>
      <c r="B445" s="32"/>
      <c r="C445" s="32"/>
      <c r="D445" s="32"/>
      <c r="E445" s="32"/>
      <c r="F445" s="32"/>
    </row>
    <row r="446" spans="1:6" ht="14.25">
      <c r="A446" s="32"/>
      <c r="B446" s="32"/>
      <c r="C446" s="32"/>
      <c r="D446" s="32"/>
      <c r="E446" s="32"/>
      <c r="F446" s="32"/>
    </row>
    <row r="447" spans="1:6" ht="14.25">
      <c r="A447" s="32"/>
      <c r="B447" s="32"/>
      <c r="C447" s="32"/>
      <c r="D447" s="32"/>
      <c r="E447" s="32"/>
      <c r="F447" s="32"/>
    </row>
    <row r="448" spans="1:6" ht="14.25">
      <c r="A448" s="32"/>
      <c r="B448" s="32"/>
      <c r="C448" s="32"/>
      <c r="D448" s="32"/>
      <c r="E448" s="32"/>
      <c r="F448" s="32"/>
    </row>
    <row r="449" spans="1:6" ht="14.25">
      <c r="A449" s="32"/>
      <c r="B449" s="32"/>
      <c r="C449" s="32"/>
      <c r="D449" s="32"/>
      <c r="E449" s="32"/>
      <c r="F449" s="32"/>
    </row>
    <row r="450" spans="1:6" ht="14.25">
      <c r="A450" s="32"/>
      <c r="B450" s="32"/>
      <c r="C450" s="32"/>
      <c r="D450" s="32"/>
      <c r="E450" s="32"/>
      <c r="F450" s="32"/>
    </row>
    <row r="451" spans="1:6" ht="14.25">
      <c r="A451" s="32"/>
      <c r="B451" s="32"/>
      <c r="C451" s="32"/>
      <c r="D451" s="32"/>
      <c r="E451" s="32"/>
      <c r="F451" s="32"/>
    </row>
    <row r="452" spans="1:6" ht="14.25">
      <c r="A452" s="32"/>
      <c r="B452" s="32"/>
      <c r="C452" s="32"/>
      <c r="D452" s="32"/>
      <c r="E452" s="32"/>
      <c r="F452" s="32"/>
    </row>
    <row r="453" spans="1:6" ht="14.25">
      <c r="A453" s="32"/>
      <c r="B453" s="32"/>
      <c r="C453" s="32"/>
      <c r="D453" s="32"/>
      <c r="E453" s="32"/>
      <c r="F453" s="32"/>
    </row>
    <row r="454" spans="1:6" ht="14.25">
      <c r="A454" s="32"/>
      <c r="B454" s="32"/>
      <c r="C454" s="32"/>
      <c r="D454" s="32"/>
      <c r="E454" s="32"/>
      <c r="F454" s="32"/>
    </row>
    <row r="455" spans="1:6" ht="14.25">
      <c r="A455" s="32"/>
      <c r="B455" s="32"/>
      <c r="C455" s="32"/>
      <c r="D455" s="32"/>
      <c r="E455" s="32"/>
      <c r="F455" s="32"/>
    </row>
    <row r="456" spans="1:6" ht="14.25">
      <c r="A456" s="32"/>
      <c r="B456" s="32"/>
      <c r="C456" s="32"/>
      <c r="D456" s="32"/>
      <c r="E456" s="32"/>
      <c r="F456" s="32"/>
    </row>
    <row r="457" spans="1:6" ht="14.25">
      <c r="A457" s="32"/>
      <c r="B457" s="32"/>
      <c r="C457" s="32"/>
      <c r="D457" s="32"/>
      <c r="E457" s="32"/>
      <c r="F457" s="32"/>
    </row>
    <row r="458" spans="1:6" ht="14.25">
      <c r="A458" s="32"/>
      <c r="B458" s="32"/>
      <c r="C458" s="32"/>
      <c r="D458" s="32"/>
      <c r="E458" s="32"/>
      <c r="F458" s="32"/>
    </row>
    <row r="459" spans="1:6" ht="14.25">
      <c r="A459" s="32"/>
      <c r="B459" s="32"/>
      <c r="C459" s="32"/>
      <c r="D459" s="32"/>
      <c r="E459" s="32"/>
      <c r="F459" s="32"/>
    </row>
    <row r="460" spans="1:6" ht="14.25">
      <c r="A460" s="32"/>
      <c r="B460" s="32"/>
      <c r="C460" s="32"/>
      <c r="D460" s="32"/>
      <c r="E460" s="32"/>
      <c r="F460" s="32"/>
    </row>
    <row r="461" spans="1:6" ht="14.25">
      <c r="A461" s="32"/>
      <c r="B461" s="32"/>
      <c r="C461" s="32"/>
      <c r="D461" s="32"/>
      <c r="E461" s="32"/>
      <c r="F461" s="32"/>
    </row>
    <row r="462" spans="1:6" ht="14.25">
      <c r="A462" s="32"/>
      <c r="B462" s="32"/>
      <c r="C462" s="32"/>
      <c r="D462" s="32"/>
      <c r="E462" s="32"/>
      <c r="F462" s="32"/>
    </row>
    <row r="463" spans="1:6" ht="14.25">
      <c r="A463" s="32"/>
      <c r="B463" s="32"/>
      <c r="C463" s="32"/>
      <c r="D463" s="32"/>
      <c r="E463" s="32"/>
      <c r="F463" s="32"/>
    </row>
    <row r="464" spans="1:6" ht="14.25">
      <c r="A464" s="32"/>
      <c r="B464" s="32"/>
      <c r="C464" s="32"/>
      <c r="D464" s="32"/>
      <c r="E464" s="32"/>
      <c r="F464" s="32"/>
    </row>
    <row r="465" spans="1:6" ht="14.25">
      <c r="A465" s="32"/>
      <c r="B465" s="32"/>
      <c r="C465" s="32"/>
      <c r="D465" s="32"/>
      <c r="E465" s="32"/>
      <c r="F465" s="32"/>
    </row>
    <row r="466" spans="1:6" ht="14.25">
      <c r="A466" s="32"/>
      <c r="B466" s="32"/>
      <c r="C466" s="32"/>
      <c r="D466" s="32"/>
      <c r="E466" s="32"/>
      <c r="F466" s="32"/>
    </row>
    <row r="467" spans="1:6" ht="14.25">
      <c r="A467" s="32"/>
      <c r="B467" s="32"/>
      <c r="C467" s="32"/>
      <c r="D467" s="32"/>
      <c r="E467" s="32"/>
      <c r="F467" s="32"/>
    </row>
    <row r="468" spans="1:6" ht="14.25">
      <c r="A468" s="32"/>
      <c r="B468" s="32"/>
      <c r="C468" s="32"/>
      <c r="D468" s="32"/>
      <c r="E468" s="32"/>
      <c r="F468" s="32"/>
    </row>
    <row r="469" spans="1:6" ht="14.25">
      <c r="A469" s="32"/>
      <c r="B469" s="32"/>
      <c r="C469" s="32"/>
      <c r="D469" s="32"/>
      <c r="E469" s="32"/>
      <c r="F469" s="32"/>
    </row>
    <row r="470" spans="1:6" ht="14.25">
      <c r="A470" s="32"/>
      <c r="B470" s="32"/>
      <c r="C470" s="32"/>
      <c r="D470" s="32"/>
      <c r="E470" s="32"/>
      <c r="F470" s="32"/>
    </row>
    <row r="471" spans="1:6" ht="14.25">
      <c r="A471" s="32"/>
      <c r="B471" s="32"/>
      <c r="C471" s="32"/>
      <c r="D471" s="32"/>
      <c r="E471" s="32"/>
      <c r="F471" s="32"/>
    </row>
    <row r="472" spans="1:6" ht="14.25">
      <c r="A472" s="32"/>
      <c r="B472" s="32"/>
      <c r="C472" s="32"/>
      <c r="D472" s="32"/>
      <c r="E472" s="32"/>
      <c r="F472" s="32"/>
    </row>
    <row r="473" spans="1:6" ht="14.25">
      <c r="A473" s="32"/>
      <c r="B473" s="32"/>
      <c r="C473" s="32"/>
      <c r="D473" s="32"/>
      <c r="E473" s="32"/>
      <c r="F473" s="32"/>
    </row>
    <row r="474" spans="1:6" ht="14.25">
      <c r="A474" s="32"/>
      <c r="B474" s="32"/>
      <c r="C474" s="32"/>
      <c r="D474" s="32"/>
      <c r="E474" s="32"/>
      <c r="F474" s="32"/>
    </row>
    <row r="475" spans="1:6" ht="14.25">
      <c r="A475" s="32"/>
      <c r="B475" s="32"/>
      <c r="C475" s="32"/>
      <c r="D475" s="32"/>
      <c r="E475" s="32"/>
      <c r="F475" s="32"/>
    </row>
    <row r="476" spans="1:6" ht="14.25">
      <c r="A476" s="32"/>
      <c r="B476" s="32"/>
      <c r="C476" s="32"/>
      <c r="D476" s="32"/>
      <c r="E476" s="32"/>
      <c r="F476" s="32"/>
    </row>
    <row r="477" spans="1:6" ht="14.25">
      <c r="A477" s="32"/>
      <c r="B477" s="32"/>
      <c r="C477" s="32"/>
      <c r="D477" s="32"/>
      <c r="E477" s="32"/>
      <c r="F477" s="32"/>
    </row>
    <row r="478" spans="1:6" ht="14.25">
      <c r="A478" s="32"/>
      <c r="B478" s="32"/>
      <c r="C478" s="32"/>
      <c r="D478" s="32"/>
      <c r="E478" s="32"/>
      <c r="F478" s="32"/>
    </row>
    <row r="479" spans="1:6" ht="14.25">
      <c r="A479" s="32"/>
      <c r="B479" s="32"/>
      <c r="C479" s="32"/>
      <c r="D479" s="32"/>
      <c r="E479" s="32"/>
      <c r="F479" s="32"/>
    </row>
    <row r="480" spans="1:6" ht="14.25">
      <c r="A480" s="32"/>
      <c r="B480" s="32"/>
      <c r="C480" s="32"/>
      <c r="D480" s="32"/>
      <c r="E480" s="32"/>
      <c r="F480" s="32"/>
    </row>
    <row r="481" spans="1:6" ht="14.25">
      <c r="A481" s="32"/>
      <c r="B481" s="32"/>
      <c r="C481" s="32"/>
      <c r="D481" s="32"/>
      <c r="E481" s="32"/>
      <c r="F481" s="32"/>
    </row>
    <row r="482" spans="1:6" ht="14.25">
      <c r="A482" s="32"/>
      <c r="B482" s="32"/>
      <c r="C482" s="32"/>
      <c r="D482" s="32"/>
      <c r="E482" s="32"/>
      <c r="F482" s="32"/>
    </row>
    <row r="483" spans="1:6" ht="14.25">
      <c r="A483" s="32"/>
      <c r="B483" s="32"/>
      <c r="C483" s="32"/>
      <c r="D483" s="32"/>
      <c r="E483" s="32"/>
      <c r="F483" s="32"/>
    </row>
    <row r="484" spans="1:6" ht="14.25">
      <c r="A484" s="32"/>
      <c r="B484" s="32"/>
      <c r="C484" s="32"/>
      <c r="D484" s="32"/>
      <c r="E484" s="32"/>
      <c r="F484" s="32"/>
    </row>
    <row r="485" spans="1:6" ht="14.25">
      <c r="A485" s="32"/>
      <c r="B485" s="32"/>
      <c r="C485" s="32"/>
      <c r="D485" s="32"/>
      <c r="E485" s="32"/>
      <c r="F485" s="32"/>
    </row>
    <row r="486" spans="1:6" ht="14.25">
      <c r="A486" s="32"/>
      <c r="B486" s="32"/>
      <c r="C486" s="32"/>
      <c r="D486" s="32"/>
      <c r="E486" s="32"/>
      <c r="F486" s="32"/>
    </row>
    <row r="487" spans="1:6" ht="14.25">
      <c r="A487" s="32"/>
      <c r="B487" s="32"/>
      <c r="C487" s="32"/>
      <c r="D487" s="32"/>
      <c r="E487" s="32"/>
      <c r="F487" s="32"/>
    </row>
    <row r="488" spans="1:6" ht="14.25">
      <c r="A488" s="32"/>
      <c r="B488" s="32"/>
      <c r="C488" s="32"/>
      <c r="D488" s="32"/>
      <c r="E488" s="32"/>
      <c r="F488" s="32"/>
    </row>
    <row r="489" spans="1:6" ht="14.25">
      <c r="A489" s="32"/>
      <c r="B489" s="32"/>
      <c r="C489" s="32"/>
      <c r="D489" s="32"/>
      <c r="E489" s="32"/>
      <c r="F489" s="32"/>
    </row>
    <row r="490" spans="1:6" ht="14.25">
      <c r="A490" s="32"/>
      <c r="B490" s="32"/>
      <c r="C490" s="32"/>
      <c r="D490" s="32"/>
      <c r="E490" s="32"/>
      <c r="F490" s="32"/>
    </row>
    <row r="491" spans="1:6" ht="14.25">
      <c r="A491" s="32"/>
      <c r="B491" s="32"/>
      <c r="C491" s="32"/>
      <c r="D491" s="32"/>
      <c r="E491" s="32"/>
      <c r="F491" s="32"/>
    </row>
    <row r="492" spans="1:6" ht="14.25">
      <c r="A492" s="32"/>
      <c r="B492" s="32"/>
      <c r="C492" s="32"/>
      <c r="D492" s="32"/>
      <c r="E492" s="32"/>
      <c r="F492" s="32"/>
    </row>
    <row r="493" spans="1:6" ht="14.25">
      <c r="A493" s="32"/>
      <c r="B493" s="32"/>
      <c r="C493" s="32"/>
      <c r="D493" s="32"/>
      <c r="E493" s="32"/>
      <c r="F493" s="32"/>
    </row>
    <row r="494" spans="1:6" ht="14.25">
      <c r="A494" s="32"/>
      <c r="B494" s="32"/>
      <c r="C494" s="32"/>
      <c r="D494" s="32"/>
      <c r="E494" s="32"/>
      <c r="F494" s="32"/>
    </row>
    <row r="495" spans="1:6" ht="14.25">
      <c r="A495" s="32"/>
      <c r="B495" s="32"/>
      <c r="C495" s="32"/>
      <c r="D495" s="32"/>
      <c r="E495" s="32"/>
      <c r="F495" s="32"/>
    </row>
    <row r="496" spans="1:6" ht="14.25">
      <c r="A496" s="32"/>
      <c r="B496" s="32"/>
      <c r="C496" s="32"/>
      <c r="D496" s="32"/>
      <c r="E496" s="32"/>
      <c r="F496" s="32"/>
    </row>
    <row r="497" spans="1:6" ht="14.25">
      <c r="A497" s="32"/>
      <c r="B497" s="32"/>
      <c r="C497" s="32"/>
      <c r="D497" s="32"/>
      <c r="E497" s="32"/>
      <c r="F497" s="32"/>
    </row>
    <row r="498" spans="1:6" ht="14.25">
      <c r="A498" s="32"/>
      <c r="B498" s="32"/>
      <c r="C498" s="32"/>
      <c r="D498" s="32"/>
      <c r="E498" s="32"/>
      <c r="F498" s="32"/>
    </row>
    <row r="499" spans="1:6" ht="14.25">
      <c r="A499" s="32"/>
      <c r="B499" s="32"/>
      <c r="C499" s="32"/>
      <c r="D499" s="32"/>
      <c r="E499" s="32"/>
      <c r="F499" s="32"/>
    </row>
    <row r="500" spans="1:6" ht="14.25">
      <c r="A500" s="32"/>
      <c r="B500" s="32"/>
      <c r="C500" s="32"/>
      <c r="D500" s="32"/>
      <c r="E500" s="32"/>
      <c r="F500" s="32"/>
    </row>
    <row r="501" spans="1:6" ht="14.25">
      <c r="A501" s="32"/>
      <c r="B501" s="32"/>
      <c r="C501" s="32"/>
      <c r="D501" s="32"/>
      <c r="E501" s="32"/>
      <c r="F501" s="32"/>
    </row>
    <row r="502" spans="1:6" ht="14.25">
      <c r="A502" s="32"/>
      <c r="B502" s="32"/>
      <c r="C502" s="32"/>
      <c r="D502" s="32"/>
      <c r="E502" s="32"/>
      <c r="F502" s="32"/>
    </row>
    <row r="503" spans="1:6" ht="14.25">
      <c r="A503" s="32"/>
      <c r="B503" s="32"/>
      <c r="C503" s="32"/>
      <c r="D503" s="32"/>
      <c r="E503" s="32"/>
      <c r="F503" s="32"/>
    </row>
    <row r="504" spans="1:6" ht="14.25">
      <c r="A504" s="32"/>
      <c r="B504" s="32"/>
      <c r="C504" s="32"/>
      <c r="D504" s="32"/>
      <c r="E504" s="32"/>
      <c r="F504" s="32"/>
    </row>
    <row r="505" spans="1:6" ht="14.25">
      <c r="A505" s="32"/>
      <c r="B505" s="32"/>
      <c r="C505" s="32"/>
      <c r="D505" s="32"/>
      <c r="E505" s="32"/>
      <c r="F505" s="32"/>
    </row>
    <row r="506" spans="1:6" ht="14.25">
      <c r="A506" s="32"/>
      <c r="B506" s="32"/>
      <c r="C506" s="32"/>
      <c r="D506" s="32"/>
      <c r="E506" s="32"/>
      <c r="F506" s="32"/>
    </row>
    <row r="507" spans="1:6" ht="14.25">
      <c r="A507" s="32"/>
      <c r="B507" s="32"/>
      <c r="C507" s="32"/>
      <c r="D507" s="32"/>
      <c r="E507" s="32"/>
      <c r="F507" s="32"/>
    </row>
    <row r="508" spans="1:6" ht="14.25">
      <c r="A508" s="32"/>
      <c r="B508" s="32"/>
      <c r="C508" s="32"/>
      <c r="D508" s="32"/>
      <c r="E508" s="32"/>
      <c r="F508" s="32"/>
    </row>
    <row r="509" spans="1:6" ht="14.25">
      <c r="A509" s="32"/>
      <c r="B509" s="32"/>
      <c r="C509" s="32"/>
      <c r="D509" s="32"/>
      <c r="E509" s="32"/>
      <c r="F509" s="32"/>
    </row>
    <row r="510" spans="1:6" ht="14.25">
      <c r="A510" s="32"/>
      <c r="B510" s="32"/>
      <c r="C510" s="32"/>
      <c r="D510" s="32"/>
      <c r="E510" s="32"/>
      <c r="F510" s="32"/>
    </row>
    <row r="511" spans="1:6" ht="14.25">
      <c r="A511" s="32"/>
      <c r="B511" s="32"/>
      <c r="C511" s="32"/>
      <c r="D511" s="32"/>
      <c r="E511" s="32"/>
      <c r="F511" s="32"/>
    </row>
    <row r="512" spans="1:6" ht="14.25">
      <c r="A512" s="32"/>
      <c r="B512" s="32"/>
      <c r="C512" s="32"/>
      <c r="D512" s="32"/>
      <c r="E512" s="32"/>
      <c r="F512" s="32"/>
    </row>
    <row r="513" spans="1:6" ht="14.25">
      <c r="A513" s="32"/>
      <c r="B513" s="32"/>
      <c r="C513" s="32"/>
      <c r="D513" s="32"/>
      <c r="E513" s="32"/>
      <c r="F513" s="32"/>
    </row>
    <row r="514" spans="1:6" ht="14.25">
      <c r="A514" s="32"/>
      <c r="B514" s="32"/>
      <c r="C514" s="32"/>
      <c r="D514" s="32"/>
      <c r="E514" s="32"/>
      <c r="F514" s="32"/>
    </row>
  </sheetData>
  <mergeCells count="22">
    <mergeCell ref="A15:A19"/>
    <mergeCell ref="A20:A21"/>
    <mergeCell ref="A22:A23"/>
    <mergeCell ref="A24:A42"/>
    <mergeCell ref="D2:D3"/>
    <mergeCell ref="E2:F2"/>
    <mergeCell ref="A1:F1"/>
    <mergeCell ref="A78:B78"/>
    <mergeCell ref="A2:A3"/>
    <mergeCell ref="B2:B3"/>
    <mergeCell ref="C2:C3"/>
    <mergeCell ref="A4:A6"/>
    <mergeCell ref="A7:A12"/>
    <mergeCell ref="A13:A14"/>
    <mergeCell ref="A46:A52"/>
    <mergeCell ref="A43:A45"/>
    <mergeCell ref="A53:A60"/>
    <mergeCell ref="A61:A62"/>
    <mergeCell ref="A63:A65"/>
    <mergeCell ref="A66:A70"/>
    <mergeCell ref="A71:A72"/>
    <mergeCell ref="A73:A7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="90" zoomScaleNormal="90" workbookViewId="0" topLeftCell="A1">
      <selection activeCell="B2" sqref="B2:B3"/>
    </sheetView>
  </sheetViews>
  <sheetFormatPr defaultColWidth="9.00390625" defaultRowHeight="12.75"/>
  <cols>
    <col min="1" max="1" width="14.00390625" style="0" customWidth="1"/>
    <col min="2" max="2" width="48.875" style="0" customWidth="1"/>
    <col min="3" max="3" width="17.375" style="3" customWidth="1"/>
    <col min="4" max="4" width="21.00390625" style="0" customWidth="1"/>
    <col min="5" max="5" width="16.625" style="0" customWidth="1"/>
    <col min="6" max="6" width="12.25390625" style="0" customWidth="1"/>
  </cols>
  <sheetData>
    <row r="1" spans="1:6" ht="50.25" customHeight="1">
      <c r="A1" s="121" t="s">
        <v>131</v>
      </c>
      <c r="B1" s="121"/>
      <c r="C1" s="121"/>
      <c r="D1" s="121"/>
      <c r="E1" s="121"/>
      <c r="F1" s="121"/>
    </row>
    <row r="2" spans="1:6" s="32" customFormat="1" ht="28.5" customHeight="1">
      <c r="A2" s="120" t="s">
        <v>52</v>
      </c>
      <c r="B2" s="123" t="s">
        <v>0</v>
      </c>
      <c r="C2" s="109" t="s">
        <v>126</v>
      </c>
      <c r="D2" s="118" t="s">
        <v>127</v>
      </c>
      <c r="E2" s="120" t="s">
        <v>128</v>
      </c>
      <c r="F2" s="120"/>
    </row>
    <row r="3" spans="1:6" s="77" customFormat="1" ht="24" customHeight="1">
      <c r="A3" s="120"/>
      <c r="B3" s="123"/>
      <c r="C3" s="109"/>
      <c r="D3" s="119"/>
      <c r="E3" s="67" t="s">
        <v>152</v>
      </c>
      <c r="F3" s="67" t="s">
        <v>153</v>
      </c>
    </row>
    <row r="4" spans="1:6" ht="27" customHeight="1">
      <c r="A4" s="8" t="s">
        <v>53</v>
      </c>
      <c r="B4" s="9" t="s">
        <v>111</v>
      </c>
      <c r="C4" s="10">
        <f>C5+C7</f>
        <v>6301</v>
      </c>
      <c r="D4" s="10">
        <f>D5+D7</f>
        <v>32100</v>
      </c>
      <c r="E4" s="16">
        <f>E5+E7</f>
        <v>9162</v>
      </c>
      <c r="F4" s="90">
        <f aca="true" t="shared" si="0" ref="F4:F14">E4*100/D4</f>
        <v>28.542056074766354</v>
      </c>
    </row>
    <row r="5" spans="1:6" s="7" customFormat="1" ht="22.5" customHeight="1">
      <c r="A5" s="11" t="s">
        <v>54</v>
      </c>
      <c r="B5" s="12" t="s">
        <v>17</v>
      </c>
      <c r="C5" s="13">
        <f>C6</f>
        <v>3235</v>
      </c>
      <c r="D5" s="13">
        <f>D6</f>
        <v>3600</v>
      </c>
      <c r="E5" s="13">
        <f>E6</f>
        <v>127</v>
      </c>
      <c r="F5" s="85">
        <f t="shared" si="0"/>
        <v>3.5277777777777777</v>
      </c>
    </row>
    <row r="6" spans="1:6" ht="22.5" customHeight="1">
      <c r="A6" s="14"/>
      <c r="B6" s="15" t="s">
        <v>14</v>
      </c>
      <c r="C6" s="16">
        <v>3235</v>
      </c>
      <c r="D6" s="16">
        <v>3600</v>
      </c>
      <c r="E6" s="16">
        <v>127</v>
      </c>
      <c r="F6" s="66">
        <f t="shared" si="0"/>
        <v>3.5277777777777777</v>
      </c>
    </row>
    <row r="7" spans="1:6" s="7" customFormat="1" ht="22.5" customHeight="1">
      <c r="A7" s="11" t="s">
        <v>55</v>
      </c>
      <c r="B7" s="12" t="s">
        <v>18</v>
      </c>
      <c r="C7" s="13">
        <f>C8</f>
        <v>3066</v>
      </c>
      <c r="D7" s="13">
        <f>D8</f>
        <v>28500</v>
      </c>
      <c r="E7" s="13">
        <f>E8</f>
        <v>9035</v>
      </c>
      <c r="F7" s="85">
        <f t="shared" si="0"/>
        <v>31.70175438596491</v>
      </c>
    </row>
    <row r="8" spans="1:6" ht="22.5" customHeight="1">
      <c r="A8" s="14"/>
      <c r="B8" s="15" t="s">
        <v>14</v>
      </c>
      <c r="C8" s="17">
        <f>12+3054</f>
        <v>3066</v>
      </c>
      <c r="D8" s="17">
        <f>10500+18000</f>
        <v>28500</v>
      </c>
      <c r="E8" s="17">
        <f>7776+1259</f>
        <v>9035</v>
      </c>
      <c r="F8" s="86">
        <f t="shared" si="0"/>
        <v>31.70175438596491</v>
      </c>
    </row>
    <row r="9" spans="1:6" ht="44.25" customHeight="1">
      <c r="A9" s="18" t="s">
        <v>84</v>
      </c>
      <c r="B9" s="9" t="s">
        <v>116</v>
      </c>
      <c r="C9" s="10">
        <f aca="true" t="shared" si="1" ref="C9:E10">C10</f>
        <v>3156905</v>
      </c>
      <c r="D9" s="10">
        <f t="shared" si="1"/>
        <v>455000</v>
      </c>
      <c r="E9" s="10">
        <f t="shared" si="1"/>
        <v>94228</v>
      </c>
      <c r="F9" s="90">
        <f t="shared" si="0"/>
        <v>20.70945054945055</v>
      </c>
    </row>
    <row r="10" spans="1:6" s="7" customFormat="1" ht="22.5" customHeight="1">
      <c r="A10" s="19" t="s">
        <v>85</v>
      </c>
      <c r="B10" s="12" t="s">
        <v>86</v>
      </c>
      <c r="C10" s="13">
        <f t="shared" si="1"/>
        <v>3156905</v>
      </c>
      <c r="D10" s="13">
        <f t="shared" si="1"/>
        <v>455000</v>
      </c>
      <c r="E10" s="13">
        <f t="shared" si="1"/>
        <v>94228</v>
      </c>
      <c r="F10" s="85">
        <f t="shared" si="0"/>
        <v>20.70945054945055</v>
      </c>
    </row>
    <row r="11" spans="1:6" ht="22.5" customHeight="1">
      <c r="A11" s="20"/>
      <c r="B11" s="21" t="s">
        <v>56</v>
      </c>
      <c r="C11" s="17">
        <f>56512+2325295+775098</f>
        <v>3156905</v>
      </c>
      <c r="D11" s="17">
        <f>150000+228750+76250</f>
        <v>455000</v>
      </c>
      <c r="E11" s="17">
        <f>6880+65511+21837</f>
        <v>94228</v>
      </c>
      <c r="F11" s="86">
        <f t="shared" si="0"/>
        <v>20.70945054945055</v>
      </c>
    </row>
    <row r="12" spans="1:6" ht="27.75" customHeight="1">
      <c r="A12" s="18">
        <v>600</v>
      </c>
      <c r="B12" s="9" t="s">
        <v>19</v>
      </c>
      <c r="C12" s="10">
        <f>C13+C16</f>
        <v>1279878</v>
      </c>
      <c r="D12" s="10">
        <f>D13+D16</f>
        <v>989000</v>
      </c>
      <c r="E12" s="10">
        <f>E13+E16</f>
        <v>72</v>
      </c>
      <c r="F12" s="90">
        <f t="shared" si="0"/>
        <v>0.007280080889787664</v>
      </c>
    </row>
    <row r="13" spans="1:6" s="7" customFormat="1" ht="20.25" customHeight="1">
      <c r="A13" s="19">
        <v>60016</v>
      </c>
      <c r="B13" s="12" t="s">
        <v>20</v>
      </c>
      <c r="C13" s="13">
        <f>C14+C15</f>
        <v>1279857</v>
      </c>
      <c r="D13" s="13">
        <f>D14+D15</f>
        <v>985000</v>
      </c>
      <c r="E13" s="13">
        <f>E14+E15</f>
        <v>72</v>
      </c>
      <c r="F13" s="85">
        <f t="shared" si="0"/>
        <v>0.007309644670050761</v>
      </c>
    </row>
    <row r="14" spans="1:6" ht="22.5" customHeight="1">
      <c r="A14" s="23"/>
      <c r="B14" s="15" t="s">
        <v>14</v>
      </c>
      <c r="C14" s="16">
        <f>2100+8517+1144703+9225+11013</f>
        <v>1175558</v>
      </c>
      <c r="D14" s="16">
        <f>928458+44542+12000</f>
        <v>985000</v>
      </c>
      <c r="E14" s="16">
        <f>44+28</f>
        <v>72</v>
      </c>
      <c r="F14" s="66">
        <f t="shared" si="0"/>
        <v>0.007309644670050761</v>
      </c>
    </row>
    <row r="15" spans="1:6" ht="22.5" customHeight="1">
      <c r="A15" s="23"/>
      <c r="B15" s="15" t="s">
        <v>56</v>
      </c>
      <c r="C15" s="16">
        <v>104299</v>
      </c>
      <c r="D15" s="16">
        <v>0</v>
      </c>
      <c r="E15" s="16">
        <v>0</v>
      </c>
      <c r="F15" s="66">
        <v>0</v>
      </c>
    </row>
    <row r="16" spans="1:6" s="7" customFormat="1" ht="22.5" customHeight="1">
      <c r="A16" s="19">
        <v>60095</v>
      </c>
      <c r="B16" s="12" t="s">
        <v>18</v>
      </c>
      <c r="C16" s="13">
        <f>C17</f>
        <v>21</v>
      </c>
      <c r="D16" s="13">
        <f>D17</f>
        <v>4000</v>
      </c>
      <c r="E16" s="13">
        <f>E17</f>
        <v>0</v>
      </c>
      <c r="F16" s="85">
        <v>0</v>
      </c>
    </row>
    <row r="17" spans="1:6" ht="22.5" customHeight="1">
      <c r="A17" s="104"/>
      <c r="B17" s="21" t="s">
        <v>14</v>
      </c>
      <c r="C17" s="17">
        <v>21</v>
      </c>
      <c r="D17" s="17">
        <v>4000</v>
      </c>
      <c r="E17" s="17">
        <v>0</v>
      </c>
      <c r="F17" s="86">
        <v>0</v>
      </c>
    </row>
    <row r="18" spans="1:6" ht="21.75" customHeight="1">
      <c r="A18" s="8">
        <v>700</v>
      </c>
      <c r="B18" s="9" t="s">
        <v>1</v>
      </c>
      <c r="C18" s="10">
        <f>C19</f>
        <v>1085152</v>
      </c>
      <c r="D18" s="10">
        <f>D19</f>
        <v>1047427</v>
      </c>
      <c r="E18" s="10">
        <f>E19</f>
        <v>207321</v>
      </c>
      <c r="F18" s="90">
        <f>E18*100/D18</f>
        <v>19.79336030100427</v>
      </c>
    </row>
    <row r="19" spans="1:6" s="7" customFormat="1" ht="20.25" customHeight="1">
      <c r="A19" s="11">
        <v>70005</v>
      </c>
      <c r="B19" s="12" t="s">
        <v>21</v>
      </c>
      <c r="C19" s="13">
        <f>C20+C21</f>
        <v>1085152</v>
      </c>
      <c r="D19" s="13">
        <f>D20+D21</f>
        <v>1047427</v>
      </c>
      <c r="E19" s="13">
        <f>E20+E21</f>
        <v>207321</v>
      </c>
      <c r="F19" s="85">
        <f>E19*100/D19</f>
        <v>19.79336030100427</v>
      </c>
    </row>
    <row r="20" spans="1:6" ht="20.25" customHeight="1">
      <c r="A20" s="14"/>
      <c r="B20" s="15" t="s">
        <v>14</v>
      </c>
      <c r="C20" s="16">
        <f>86972+105184+252855+239385+2498+249393+682</f>
        <v>936969</v>
      </c>
      <c r="D20" s="16">
        <f>100300+118076+281527+303524+5000+239000</f>
        <v>1047427</v>
      </c>
      <c r="E20" s="16">
        <f>31091+22065+40445+50688+1519+61513</f>
        <v>207321</v>
      </c>
      <c r="F20" s="66">
        <f>E20*100/D20</f>
        <v>19.79336030100427</v>
      </c>
    </row>
    <row r="21" spans="1:6" ht="20.25" customHeight="1">
      <c r="A21" s="24"/>
      <c r="B21" s="21" t="s">
        <v>56</v>
      </c>
      <c r="C21" s="17">
        <v>148183</v>
      </c>
      <c r="D21" s="17">
        <v>0</v>
      </c>
      <c r="E21" s="17">
        <v>0</v>
      </c>
      <c r="F21" s="86">
        <v>0</v>
      </c>
    </row>
    <row r="22" spans="1:6" ht="20.25" customHeight="1">
      <c r="A22" s="8">
        <v>710</v>
      </c>
      <c r="B22" s="9" t="s">
        <v>22</v>
      </c>
      <c r="C22" s="10">
        <f>C23+C25</f>
        <v>104380</v>
      </c>
      <c r="D22" s="10">
        <f>D23+D25</f>
        <v>89000</v>
      </c>
      <c r="E22" s="10">
        <f>E23+E25</f>
        <v>4970</v>
      </c>
      <c r="F22" s="90">
        <f aca="true" t="shared" si="2" ref="F22:F38">E22*100/D22</f>
        <v>5.584269662921348</v>
      </c>
    </row>
    <row r="23" spans="1:6" s="7" customFormat="1" ht="20.25" customHeight="1">
      <c r="A23" s="11">
        <v>71004</v>
      </c>
      <c r="B23" s="12" t="s">
        <v>23</v>
      </c>
      <c r="C23" s="13">
        <f>C24</f>
        <v>15624</v>
      </c>
      <c r="D23" s="13">
        <f>D24</f>
        <v>15000</v>
      </c>
      <c r="E23" s="13">
        <f>E24</f>
        <v>2040</v>
      </c>
      <c r="F23" s="85">
        <f t="shared" si="2"/>
        <v>13.6</v>
      </c>
    </row>
    <row r="24" spans="1:6" ht="20.25" customHeight="1">
      <c r="A24" s="14"/>
      <c r="B24" s="15" t="s">
        <v>14</v>
      </c>
      <c r="C24" s="16">
        <f>6320+9304</f>
        <v>15624</v>
      </c>
      <c r="D24" s="16">
        <v>15000</v>
      </c>
      <c r="E24" s="16">
        <v>2040</v>
      </c>
      <c r="F24" s="66">
        <f t="shared" si="2"/>
        <v>13.6</v>
      </c>
    </row>
    <row r="25" spans="1:6" s="7" customFormat="1" ht="20.25" customHeight="1">
      <c r="A25" s="11">
        <v>71035</v>
      </c>
      <c r="B25" s="12" t="s">
        <v>24</v>
      </c>
      <c r="C25" s="13">
        <f>C26</f>
        <v>88756</v>
      </c>
      <c r="D25" s="13">
        <f>D26</f>
        <v>74000</v>
      </c>
      <c r="E25" s="13">
        <f>E26</f>
        <v>2930</v>
      </c>
      <c r="F25" s="85">
        <f t="shared" si="2"/>
        <v>3.9594594594594597</v>
      </c>
    </row>
    <row r="26" spans="1:6" ht="20.25" customHeight="1">
      <c r="A26" s="14"/>
      <c r="B26" s="15" t="s">
        <v>14</v>
      </c>
      <c r="C26" s="17">
        <f>1000+19300+68456</f>
        <v>88756</v>
      </c>
      <c r="D26" s="17">
        <f>10000+64000</f>
        <v>74000</v>
      </c>
      <c r="E26" s="17">
        <v>2930</v>
      </c>
      <c r="F26" s="86">
        <f t="shared" si="2"/>
        <v>3.9594594594594597</v>
      </c>
    </row>
    <row r="27" spans="1:6" ht="21.75" customHeight="1">
      <c r="A27" s="8">
        <v>750</v>
      </c>
      <c r="B27" s="9" t="s">
        <v>2</v>
      </c>
      <c r="C27" s="10">
        <f>C28+C31+C33+C39</f>
        <v>3576420</v>
      </c>
      <c r="D27" s="10">
        <f>D28+D31+D33+D37+D39</f>
        <v>4237984</v>
      </c>
      <c r="E27" s="10">
        <f>E28+E31+E33+E37+E39</f>
        <v>970019</v>
      </c>
      <c r="F27" s="90">
        <f t="shared" si="2"/>
        <v>22.88868952785098</v>
      </c>
    </row>
    <row r="28" spans="1:6" s="7" customFormat="1" ht="20.25" customHeight="1">
      <c r="A28" s="11">
        <v>75011</v>
      </c>
      <c r="B28" s="12" t="s">
        <v>25</v>
      </c>
      <c r="C28" s="13">
        <f>C29</f>
        <v>185390</v>
      </c>
      <c r="D28" s="13">
        <f>D29</f>
        <v>168958</v>
      </c>
      <c r="E28" s="13">
        <f>E29</f>
        <v>42506</v>
      </c>
      <c r="F28" s="85">
        <f t="shared" si="2"/>
        <v>25.157731507238484</v>
      </c>
    </row>
    <row r="29" spans="1:6" ht="20.25" customHeight="1">
      <c r="A29" s="14"/>
      <c r="B29" s="15" t="s">
        <v>12</v>
      </c>
      <c r="C29" s="16">
        <f>115975+8516+22600+3210+6204+8150+17775+800+2160</f>
        <v>185390</v>
      </c>
      <c r="D29" s="16">
        <f>103070+17759+2529+7000+13000+24000+1600</f>
        <v>168958</v>
      </c>
      <c r="E29" s="16">
        <f>27365+4817+685+1451+4144+4044</f>
        <v>42506</v>
      </c>
      <c r="F29" s="66">
        <f t="shared" si="2"/>
        <v>25.157731507238484</v>
      </c>
    </row>
    <row r="30" spans="1:6" ht="20.25" customHeight="1">
      <c r="A30" s="14"/>
      <c r="B30" s="15" t="s">
        <v>13</v>
      </c>
      <c r="C30" s="16">
        <f>115975+8516+22600+3210</f>
        <v>150301</v>
      </c>
      <c r="D30" s="16">
        <f>103070+17759+2529</f>
        <v>123358</v>
      </c>
      <c r="E30" s="16">
        <f>27365+4817+685</f>
        <v>32867</v>
      </c>
      <c r="F30" s="66">
        <f t="shared" si="2"/>
        <v>26.643590200878744</v>
      </c>
    </row>
    <row r="31" spans="1:6" s="7" customFormat="1" ht="20.25" customHeight="1">
      <c r="A31" s="11">
        <v>75022</v>
      </c>
      <c r="B31" s="12" t="s">
        <v>26</v>
      </c>
      <c r="C31" s="13">
        <f>C32</f>
        <v>147182</v>
      </c>
      <c r="D31" s="13">
        <f>D32</f>
        <v>181708</v>
      </c>
      <c r="E31" s="13">
        <f>E32</f>
        <v>34023</v>
      </c>
      <c r="F31" s="85">
        <f t="shared" si="2"/>
        <v>18.72399674202567</v>
      </c>
    </row>
    <row r="32" spans="1:6" ht="20.25" customHeight="1">
      <c r="A32" s="14"/>
      <c r="B32" s="15" t="s">
        <v>14</v>
      </c>
      <c r="C32" s="16">
        <f>139886+5682+865+15+734</f>
        <v>147182</v>
      </c>
      <c r="D32" s="16">
        <f>162708+10000+5000+2000+2000</f>
        <v>181708</v>
      </c>
      <c r="E32" s="16">
        <f>33034+940+49</f>
        <v>34023</v>
      </c>
      <c r="F32" s="66">
        <f t="shared" si="2"/>
        <v>18.72399674202567</v>
      </c>
    </row>
    <row r="33" spans="1:6" s="7" customFormat="1" ht="20.25" customHeight="1">
      <c r="A33" s="11">
        <v>75023</v>
      </c>
      <c r="B33" s="12" t="s">
        <v>27</v>
      </c>
      <c r="C33" s="13">
        <f>C34+C36</f>
        <v>3192779</v>
      </c>
      <c r="D33" s="13">
        <f>D34+D36</f>
        <v>3771538</v>
      </c>
      <c r="E33" s="13">
        <f>E34+E36</f>
        <v>887306</v>
      </c>
      <c r="F33" s="85">
        <f t="shared" si="2"/>
        <v>23.52637040910101</v>
      </c>
    </row>
    <row r="34" spans="1:6" ht="20.25" customHeight="1">
      <c r="A34" s="14"/>
      <c r="B34" s="15" t="s">
        <v>12</v>
      </c>
      <c r="C34" s="16">
        <f>26149+1926349+136461+333895+49604+36522+78281+136310+36499+49002+195361+2835+5552+44049+64180+36142+6733+100</f>
        <v>3164024</v>
      </c>
      <c r="D34" s="16">
        <f>40000+2210051+130000+402372+57215+32000+80250+173000+60000+40000+214000+4000+6000+52400+74250+35000+7000</f>
        <v>3617538</v>
      </c>
      <c r="E34" s="16">
        <f>29804+438349+128218+96161+13891+6985+17118+28036+15193+52393+259+894+3784+34000+2963+5240+116</f>
        <v>873404</v>
      </c>
      <c r="F34" s="66">
        <f t="shared" si="2"/>
        <v>24.14360263803725</v>
      </c>
    </row>
    <row r="35" spans="1:6" ht="20.25" customHeight="1">
      <c r="A35" s="14"/>
      <c r="B35" s="15" t="s">
        <v>13</v>
      </c>
      <c r="C35" s="16">
        <f>1926349+136461+333895+49604+78281</f>
        <v>2524590</v>
      </c>
      <c r="D35" s="16">
        <f>2210051+130000+402372+57215+80250</f>
        <v>2879888</v>
      </c>
      <c r="E35" s="16">
        <f>438349+128218+96161+13891+17118</f>
        <v>693737</v>
      </c>
      <c r="F35" s="66">
        <f t="shared" si="2"/>
        <v>24.089027073275073</v>
      </c>
    </row>
    <row r="36" spans="1:6" ht="20.25" customHeight="1">
      <c r="A36" s="14"/>
      <c r="B36" s="15" t="s">
        <v>56</v>
      </c>
      <c r="C36" s="16">
        <v>28755</v>
      </c>
      <c r="D36" s="16">
        <v>154000</v>
      </c>
      <c r="E36" s="16">
        <v>13902</v>
      </c>
      <c r="F36" s="66">
        <f t="shared" si="2"/>
        <v>9.027272727272727</v>
      </c>
    </row>
    <row r="37" spans="1:6" s="7" customFormat="1" ht="20.25" customHeight="1">
      <c r="A37" s="11" t="s">
        <v>132</v>
      </c>
      <c r="B37" s="12" t="s">
        <v>133</v>
      </c>
      <c r="C37" s="13">
        <f>C38</f>
        <v>0</v>
      </c>
      <c r="D37" s="13">
        <f>D38</f>
        <v>105780</v>
      </c>
      <c r="E37" s="13">
        <f>E38</f>
        <v>6184</v>
      </c>
      <c r="F37" s="85">
        <f t="shared" si="2"/>
        <v>5.846095670259028</v>
      </c>
    </row>
    <row r="38" spans="1:6" ht="20.25" customHeight="1">
      <c r="A38" s="14"/>
      <c r="B38" s="15" t="s">
        <v>14</v>
      </c>
      <c r="C38" s="16">
        <v>0</v>
      </c>
      <c r="D38" s="16">
        <f>4700+16500+84580</f>
        <v>105780</v>
      </c>
      <c r="E38" s="16">
        <f>1547+4637</f>
        <v>6184</v>
      </c>
      <c r="F38" s="66">
        <f t="shared" si="2"/>
        <v>5.846095670259028</v>
      </c>
    </row>
    <row r="39" spans="1:6" s="7" customFormat="1" ht="20.25" customHeight="1">
      <c r="A39" s="11">
        <v>75095</v>
      </c>
      <c r="B39" s="12" t="s">
        <v>18</v>
      </c>
      <c r="C39" s="13">
        <f>C40</f>
        <v>51069</v>
      </c>
      <c r="D39" s="13">
        <f>D40</f>
        <v>10000</v>
      </c>
      <c r="E39" s="13">
        <f>E40</f>
        <v>0</v>
      </c>
      <c r="F39" s="85">
        <v>0</v>
      </c>
    </row>
    <row r="40" spans="1:6" ht="19.5" customHeight="1">
      <c r="A40" s="24"/>
      <c r="B40" s="21" t="s">
        <v>14</v>
      </c>
      <c r="C40" s="17">
        <f>2245+7394+32049+9381</f>
        <v>51069</v>
      </c>
      <c r="D40" s="17">
        <v>10000</v>
      </c>
      <c r="E40" s="17">
        <v>0</v>
      </c>
      <c r="F40" s="86">
        <v>0</v>
      </c>
    </row>
    <row r="41" spans="1:6" ht="52.5" customHeight="1">
      <c r="A41" s="8">
        <v>751</v>
      </c>
      <c r="B41" s="9" t="s">
        <v>3</v>
      </c>
      <c r="C41" s="10">
        <f>C42+C44+C46</f>
        <v>76484</v>
      </c>
      <c r="D41" s="10">
        <f>D42+D44+D46</f>
        <v>2712</v>
      </c>
      <c r="E41" s="10">
        <f>E42+E44+E46</f>
        <v>0</v>
      </c>
      <c r="F41" s="90">
        <v>0</v>
      </c>
    </row>
    <row r="42" spans="1:6" s="7" customFormat="1" ht="34.5" customHeight="1">
      <c r="A42" s="11">
        <v>75101</v>
      </c>
      <c r="B42" s="12" t="s">
        <v>4</v>
      </c>
      <c r="C42" s="13">
        <f>C43</f>
        <v>2849</v>
      </c>
      <c r="D42" s="13">
        <f>D43</f>
        <v>2712</v>
      </c>
      <c r="E42" s="13">
        <f>E43</f>
        <v>0</v>
      </c>
      <c r="F42" s="85">
        <v>0</v>
      </c>
    </row>
    <row r="43" spans="1:6" ht="20.25" customHeight="1">
      <c r="A43" s="11"/>
      <c r="B43" s="15" t="s">
        <v>14</v>
      </c>
      <c r="C43" s="16">
        <f>1500+1349</f>
        <v>2849</v>
      </c>
      <c r="D43" s="16">
        <f>1000+1712</f>
        <v>2712</v>
      </c>
      <c r="E43" s="16">
        <v>0</v>
      </c>
      <c r="F43" s="66">
        <v>0</v>
      </c>
    </row>
    <row r="44" spans="1:6" s="7" customFormat="1" ht="20.25" customHeight="1">
      <c r="A44" s="11" t="s">
        <v>112</v>
      </c>
      <c r="B44" s="12" t="s">
        <v>121</v>
      </c>
      <c r="C44" s="13">
        <f>C45</f>
        <v>45060</v>
      </c>
      <c r="D44" s="13">
        <f>D45</f>
        <v>0</v>
      </c>
      <c r="E44" s="13">
        <f>E45</f>
        <v>0</v>
      </c>
      <c r="F44" s="85">
        <v>0</v>
      </c>
    </row>
    <row r="45" spans="1:6" s="5" customFormat="1" ht="20.25" customHeight="1">
      <c r="A45" s="14"/>
      <c r="B45" s="15" t="s">
        <v>14</v>
      </c>
      <c r="C45" s="16">
        <f>27450+2154+306+12500+2150+500</f>
        <v>45060</v>
      </c>
      <c r="D45" s="16">
        <v>0</v>
      </c>
      <c r="E45" s="16">
        <v>0</v>
      </c>
      <c r="F45" s="66">
        <v>0</v>
      </c>
    </row>
    <row r="46" spans="1:6" s="7" customFormat="1" ht="19.5" customHeight="1">
      <c r="A46" s="11" t="s">
        <v>113</v>
      </c>
      <c r="B46" s="12" t="s">
        <v>114</v>
      </c>
      <c r="C46" s="13">
        <f>C47</f>
        <v>28575</v>
      </c>
      <c r="D46" s="13">
        <f>D47</f>
        <v>0</v>
      </c>
      <c r="E46" s="13">
        <f>E47</f>
        <v>0</v>
      </c>
      <c r="F46" s="85">
        <v>0</v>
      </c>
    </row>
    <row r="47" spans="1:6" ht="20.25" customHeight="1">
      <c r="A47" s="24"/>
      <c r="B47" s="21" t="s">
        <v>14</v>
      </c>
      <c r="C47" s="17">
        <f>16425+1015+144+7887+2478+626</f>
        <v>28575</v>
      </c>
      <c r="D47" s="17">
        <v>0</v>
      </c>
      <c r="E47" s="17">
        <v>0</v>
      </c>
      <c r="F47" s="86">
        <v>0</v>
      </c>
    </row>
    <row r="48" spans="1:6" ht="39" customHeight="1">
      <c r="A48" s="8">
        <v>754</v>
      </c>
      <c r="B48" s="9" t="s">
        <v>5</v>
      </c>
      <c r="C48" s="10">
        <f>C51+C53+C55+C58</f>
        <v>52984</v>
      </c>
      <c r="D48" s="10">
        <f>D49+D51+D53+D55+D58</f>
        <v>21000</v>
      </c>
      <c r="E48" s="10">
        <f>E49+E51+E53+E55+E58</f>
        <v>1097</v>
      </c>
      <c r="F48" s="90">
        <f>E48*100/D48</f>
        <v>5.223809523809524</v>
      </c>
    </row>
    <row r="49" spans="1:6" s="7" customFormat="1" ht="20.25" customHeight="1">
      <c r="A49" s="11" t="s">
        <v>134</v>
      </c>
      <c r="B49" s="12" t="s">
        <v>135</v>
      </c>
      <c r="C49" s="13">
        <f>C50</f>
        <v>0</v>
      </c>
      <c r="D49" s="13">
        <f>D50</f>
        <v>5000</v>
      </c>
      <c r="E49" s="13">
        <f>E50</f>
        <v>0</v>
      </c>
      <c r="F49" s="85">
        <v>0</v>
      </c>
    </row>
    <row r="50" spans="1:6" ht="20.25" customHeight="1">
      <c r="A50" s="14"/>
      <c r="B50" s="15" t="s">
        <v>14</v>
      </c>
      <c r="C50" s="16">
        <v>0</v>
      </c>
      <c r="D50" s="16">
        <v>5000</v>
      </c>
      <c r="E50" s="16">
        <v>0</v>
      </c>
      <c r="F50" s="66">
        <v>0</v>
      </c>
    </row>
    <row r="51" spans="1:6" s="7" customFormat="1" ht="33" customHeight="1">
      <c r="A51" s="11" t="s">
        <v>105</v>
      </c>
      <c r="B51" s="12" t="s">
        <v>106</v>
      </c>
      <c r="C51" s="13">
        <f>C52</f>
        <v>20000</v>
      </c>
      <c r="D51" s="13">
        <f>D52</f>
        <v>0</v>
      </c>
      <c r="E51" s="13">
        <f>E52</f>
        <v>0</v>
      </c>
      <c r="F51" s="85">
        <v>0</v>
      </c>
    </row>
    <row r="52" spans="1:6" ht="20.25" customHeight="1">
      <c r="A52" s="14"/>
      <c r="B52" s="15" t="s">
        <v>16</v>
      </c>
      <c r="C52" s="16">
        <v>20000</v>
      </c>
      <c r="D52" s="16">
        <v>0</v>
      </c>
      <c r="E52" s="16">
        <v>0</v>
      </c>
      <c r="F52" s="66">
        <v>0</v>
      </c>
    </row>
    <row r="53" spans="1:6" s="7" customFormat="1" ht="20.25" customHeight="1">
      <c r="A53" s="11">
        <v>75412</v>
      </c>
      <c r="B53" s="12" t="s">
        <v>28</v>
      </c>
      <c r="C53" s="13">
        <f>C54</f>
        <v>10999</v>
      </c>
      <c r="D53" s="13">
        <f>D54</f>
        <v>11000</v>
      </c>
      <c r="E53" s="13">
        <f>E54</f>
        <v>0</v>
      </c>
      <c r="F53" s="85">
        <v>0</v>
      </c>
    </row>
    <row r="54" spans="1:6" ht="20.25" customHeight="1">
      <c r="A54" s="14"/>
      <c r="B54" s="15" t="s">
        <v>14</v>
      </c>
      <c r="C54" s="16">
        <f>9527+1472</f>
        <v>10999</v>
      </c>
      <c r="D54" s="16">
        <f>9000+2000</f>
        <v>11000</v>
      </c>
      <c r="E54" s="16">
        <v>0</v>
      </c>
      <c r="F54" s="66">
        <v>0</v>
      </c>
    </row>
    <row r="55" spans="1:6" s="7" customFormat="1" ht="20.25" customHeight="1">
      <c r="A55" s="11">
        <v>75414</v>
      </c>
      <c r="B55" s="12" t="s">
        <v>6</v>
      </c>
      <c r="C55" s="13">
        <f>C56+C57</f>
        <v>11984</v>
      </c>
      <c r="D55" s="13">
        <f>D56+D57</f>
        <v>5000</v>
      </c>
      <c r="E55" s="13">
        <f>E56+E57</f>
        <v>1097</v>
      </c>
      <c r="F55" s="85">
        <f>E55*100/D55</f>
        <v>21.94</v>
      </c>
    </row>
    <row r="56" spans="1:6" ht="20.25" customHeight="1">
      <c r="A56" s="14"/>
      <c r="B56" s="15" t="s">
        <v>14</v>
      </c>
      <c r="C56" s="16">
        <f>4984</f>
        <v>4984</v>
      </c>
      <c r="D56" s="16">
        <v>5000</v>
      </c>
      <c r="E56" s="16">
        <v>1097</v>
      </c>
      <c r="F56" s="66">
        <f>E56*100/D56</f>
        <v>21.94</v>
      </c>
    </row>
    <row r="57" spans="1:6" ht="20.25" customHeight="1">
      <c r="A57" s="14"/>
      <c r="B57" s="15" t="s">
        <v>56</v>
      </c>
      <c r="C57" s="16">
        <v>7000</v>
      </c>
      <c r="D57" s="16">
        <v>0</v>
      </c>
      <c r="E57" s="16">
        <v>0</v>
      </c>
      <c r="F57" s="66">
        <v>0</v>
      </c>
    </row>
    <row r="58" spans="1:6" s="7" customFormat="1" ht="20.25" customHeight="1">
      <c r="A58" s="11">
        <v>75495</v>
      </c>
      <c r="B58" s="12" t="s">
        <v>18</v>
      </c>
      <c r="C58" s="13">
        <f>C59</f>
        <v>10001</v>
      </c>
      <c r="D58" s="13">
        <f>D59</f>
        <v>0</v>
      </c>
      <c r="E58" s="13">
        <f>E59</f>
        <v>0</v>
      </c>
      <c r="F58" s="85">
        <v>0</v>
      </c>
    </row>
    <row r="59" spans="1:6" ht="20.25" customHeight="1">
      <c r="A59" s="24"/>
      <c r="B59" s="21" t="s">
        <v>14</v>
      </c>
      <c r="C59" s="17">
        <v>10001</v>
      </c>
      <c r="D59" s="17">
        <v>0</v>
      </c>
      <c r="E59" s="17">
        <v>0</v>
      </c>
      <c r="F59" s="86">
        <v>0</v>
      </c>
    </row>
    <row r="60" spans="1:6" ht="72" customHeight="1">
      <c r="A60" s="8">
        <v>756</v>
      </c>
      <c r="B60" s="26" t="s">
        <v>143</v>
      </c>
      <c r="C60" s="10">
        <f aca="true" t="shared" si="3" ref="C60:E61">C61</f>
        <v>67063</v>
      </c>
      <c r="D60" s="10">
        <f t="shared" si="3"/>
        <v>55850</v>
      </c>
      <c r="E60" s="10">
        <f t="shared" si="3"/>
        <v>24550</v>
      </c>
      <c r="F60" s="90">
        <f aca="true" t="shared" si="4" ref="F60:F67">E60*100/D60</f>
        <v>43.95702775290958</v>
      </c>
    </row>
    <row r="61" spans="1:6" s="7" customFormat="1" ht="36" customHeight="1">
      <c r="A61" s="11" t="s">
        <v>62</v>
      </c>
      <c r="B61" s="27" t="s">
        <v>145</v>
      </c>
      <c r="C61" s="13">
        <f t="shared" si="3"/>
        <v>67063</v>
      </c>
      <c r="D61" s="13">
        <f t="shared" si="3"/>
        <v>55850</v>
      </c>
      <c r="E61" s="13">
        <f t="shared" si="3"/>
        <v>24550</v>
      </c>
      <c r="F61" s="85">
        <f t="shared" si="4"/>
        <v>43.95702775290958</v>
      </c>
    </row>
    <row r="62" spans="1:6" ht="20.25" customHeight="1">
      <c r="A62" s="14"/>
      <c r="B62" s="28" t="s">
        <v>12</v>
      </c>
      <c r="C62" s="16">
        <f>16539+5947+848+17871+18170+7688</f>
        <v>67063</v>
      </c>
      <c r="D62" s="16">
        <f>17000+6000+850+17000+15000</f>
        <v>55850</v>
      </c>
      <c r="E62" s="16">
        <f>2736+3419+486+17107+802</f>
        <v>24550</v>
      </c>
      <c r="F62" s="66">
        <f t="shared" si="4"/>
        <v>43.95702775290958</v>
      </c>
    </row>
    <row r="63" spans="1:6" ht="20.25" customHeight="1">
      <c r="A63" s="24"/>
      <c r="B63" s="29" t="s">
        <v>13</v>
      </c>
      <c r="C63" s="17">
        <f>16539+5947+848+17871</f>
        <v>41205</v>
      </c>
      <c r="D63" s="17">
        <f>17000+6000+850+17000</f>
        <v>40850</v>
      </c>
      <c r="E63" s="17">
        <f>2736+3419+486+17107</f>
        <v>23748</v>
      </c>
      <c r="F63" s="86">
        <f t="shared" si="4"/>
        <v>58.13463892288862</v>
      </c>
    </row>
    <row r="64" spans="1:6" ht="27" customHeight="1">
      <c r="A64" s="8">
        <v>757</v>
      </c>
      <c r="B64" s="9" t="s">
        <v>29</v>
      </c>
      <c r="C64" s="10">
        <f aca="true" t="shared" si="5" ref="C64:E65">C65</f>
        <v>378965</v>
      </c>
      <c r="D64" s="10">
        <f t="shared" si="5"/>
        <v>670000</v>
      </c>
      <c r="E64" s="10">
        <f t="shared" si="5"/>
        <v>97346</v>
      </c>
      <c r="F64" s="90">
        <f t="shared" si="4"/>
        <v>14.529253731343283</v>
      </c>
    </row>
    <row r="65" spans="1:6" s="7" customFormat="1" ht="38.25" customHeight="1">
      <c r="A65" s="11">
        <v>75702</v>
      </c>
      <c r="B65" s="12" t="s">
        <v>58</v>
      </c>
      <c r="C65" s="13">
        <f t="shared" si="5"/>
        <v>378965</v>
      </c>
      <c r="D65" s="13">
        <f t="shared" si="5"/>
        <v>670000</v>
      </c>
      <c r="E65" s="13">
        <f t="shared" si="5"/>
        <v>97346</v>
      </c>
      <c r="F65" s="85">
        <f t="shared" si="4"/>
        <v>14.529253731343283</v>
      </c>
    </row>
    <row r="66" spans="1:6" ht="20.25" customHeight="1">
      <c r="A66" s="14"/>
      <c r="B66" s="15" t="s">
        <v>12</v>
      </c>
      <c r="C66" s="16">
        <v>378965</v>
      </c>
      <c r="D66" s="16">
        <v>670000</v>
      </c>
      <c r="E66" s="16">
        <v>97346</v>
      </c>
      <c r="F66" s="66">
        <f t="shared" si="4"/>
        <v>14.529253731343283</v>
      </c>
    </row>
    <row r="67" spans="1:6" ht="20.25" customHeight="1">
      <c r="A67" s="24"/>
      <c r="B67" s="21" t="s">
        <v>59</v>
      </c>
      <c r="C67" s="17">
        <v>378965</v>
      </c>
      <c r="D67" s="17">
        <v>670000</v>
      </c>
      <c r="E67" s="17">
        <v>97346</v>
      </c>
      <c r="F67" s="86">
        <f t="shared" si="4"/>
        <v>14.529253731343283</v>
      </c>
    </row>
    <row r="68" spans="1:6" ht="25.5" customHeight="1">
      <c r="A68" s="18">
        <v>758</v>
      </c>
      <c r="B68" s="26" t="s">
        <v>30</v>
      </c>
      <c r="C68" s="10">
        <f aca="true" t="shared" si="6" ref="C68:E69">C69</f>
        <v>0</v>
      </c>
      <c r="D68" s="10">
        <f t="shared" si="6"/>
        <v>454837</v>
      </c>
      <c r="E68" s="10">
        <f t="shared" si="6"/>
        <v>0</v>
      </c>
      <c r="F68" s="90">
        <v>0</v>
      </c>
    </row>
    <row r="69" spans="1:6" s="7" customFormat="1" ht="22.5" customHeight="1">
      <c r="A69" s="19">
        <v>75818</v>
      </c>
      <c r="B69" s="27" t="s">
        <v>31</v>
      </c>
      <c r="C69" s="13">
        <f t="shared" si="6"/>
        <v>0</v>
      </c>
      <c r="D69" s="13">
        <f t="shared" si="6"/>
        <v>454837</v>
      </c>
      <c r="E69" s="13">
        <f t="shared" si="6"/>
        <v>0</v>
      </c>
      <c r="F69" s="85">
        <v>0</v>
      </c>
    </row>
    <row r="70" spans="1:6" ht="20.25" customHeight="1">
      <c r="A70" s="23"/>
      <c r="B70" s="28" t="s">
        <v>32</v>
      </c>
      <c r="C70" s="16">
        <v>0</v>
      </c>
      <c r="D70" s="16">
        <f>D71+D72</f>
        <v>454837</v>
      </c>
      <c r="E70" s="16">
        <f>E71+E72</f>
        <v>0</v>
      </c>
      <c r="F70" s="66">
        <v>0</v>
      </c>
    </row>
    <row r="71" spans="1:6" ht="19.5" customHeight="1">
      <c r="A71" s="23"/>
      <c r="B71" s="28" t="s">
        <v>60</v>
      </c>
      <c r="C71" s="16">
        <v>0</v>
      </c>
      <c r="D71" s="16">
        <v>45770</v>
      </c>
      <c r="E71" s="16">
        <v>0</v>
      </c>
      <c r="F71" s="66">
        <v>0</v>
      </c>
    </row>
    <row r="72" spans="1:6" ht="19.5" customHeight="1">
      <c r="A72" s="20"/>
      <c r="B72" s="29" t="s">
        <v>136</v>
      </c>
      <c r="C72" s="17">
        <v>0</v>
      </c>
      <c r="D72" s="17">
        <v>409067</v>
      </c>
      <c r="E72" s="17">
        <v>0</v>
      </c>
      <c r="F72" s="86">
        <v>0</v>
      </c>
    </row>
    <row r="73" spans="1:6" ht="25.5" customHeight="1">
      <c r="A73" s="8">
        <v>801</v>
      </c>
      <c r="B73" s="9" t="s">
        <v>7</v>
      </c>
      <c r="C73" s="10">
        <f>C74+C77+C81+C84+C87+C89+C91</f>
        <v>11926231</v>
      </c>
      <c r="D73" s="91">
        <f>D74+D77+D81+D84+D87+D89+D91</f>
        <v>12281496</v>
      </c>
      <c r="E73" s="10">
        <f>E74+E77+E81+E84+E87+E89+E91</f>
        <v>3305001</v>
      </c>
      <c r="F73" s="90">
        <f aca="true" t="shared" si="7" ref="F73:F85">E73*100/D73</f>
        <v>26.910410588416916</v>
      </c>
    </row>
    <row r="74" spans="1:6" s="7" customFormat="1" ht="22.5" customHeight="1">
      <c r="A74" s="11">
        <v>80101</v>
      </c>
      <c r="B74" s="12" t="s">
        <v>33</v>
      </c>
      <c r="C74" s="13">
        <f>C75</f>
        <v>5248997</v>
      </c>
      <c r="D74" s="92">
        <f>D75</f>
        <v>5300885</v>
      </c>
      <c r="E74" s="13">
        <f>E75</f>
        <v>1451323</v>
      </c>
      <c r="F74" s="85">
        <f t="shared" si="7"/>
        <v>27.378881073632044</v>
      </c>
    </row>
    <row r="75" spans="1:6" ht="19.5" customHeight="1">
      <c r="A75" s="14"/>
      <c r="B75" s="15" t="s">
        <v>12</v>
      </c>
      <c r="C75" s="16">
        <f>13147+3422+3472504+272070+648273+88217+59724+5304+298090+70000+62171+1084+5666+249325</f>
        <v>5248997</v>
      </c>
      <c r="D75" s="93">
        <f>20344+3476134+282263+676490+91995+67000+9000+345700+76434+1620+1610+10300+241995</f>
        <v>5300885</v>
      </c>
      <c r="E75" s="16">
        <f>1357+816609+256570+197372+26834+11262+119+103524+22869+490+175+4142+10000</f>
        <v>1451323</v>
      </c>
      <c r="F75" s="66">
        <f t="shared" si="7"/>
        <v>27.378881073632044</v>
      </c>
    </row>
    <row r="76" spans="1:6" ht="20.25" customHeight="1">
      <c r="A76" s="24"/>
      <c r="B76" s="21" t="s">
        <v>13</v>
      </c>
      <c r="C76" s="17">
        <f>3472504+272070+648273+88217</f>
        <v>4481064</v>
      </c>
      <c r="D76" s="94">
        <f>3476134+282263+676490+91995</f>
        <v>4526882</v>
      </c>
      <c r="E76" s="17">
        <f>816609+256570+197372+26834</f>
        <v>1297385</v>
      </c>
      <c r="F76" s="86">
        <f t="shared" si="7"/>
        <v>28.65957186425447</v>
      </c>
    </row>
    <row r="77" spans="1:6" s="7" customFormat="1" ht="22.5" customHeight="1">
      <c r="A77" s="39" t="s">
        <v>61</v>
      </c>
      <c r="B77" s="40" t="s">
        <v>34</v>
      </c>
      <c r="C77" s="34">
        <f>C78</f>
        <v>3311569</v>
      </c>
      <c r="D77" s="105">
        <f>D78</f>
        <v>3389434</v>
      </c>
      <c r="E77" s="34">
        <f>E78</f>
        <v>885667</v>
      </c>
      <c r="F77" s="84">
        <f t="shared" si="7"/>
        <v>26.130232953348553</v>
      </c>
    </row>
    <row r="78" spans="1:6" ht="20.25" customHeight="1">
      <c r="A78" s="14"/>
      <c r="B78" s="15" t="s">
        <v>12</v>
      </c>
      <c r="C78" s="16">
        <f>118081+8755+1889059+146417+355415+48398+62157+289689+6725+168840+19099+56907+370+325+2669+138508+155</f>
        <v>3311569</v>
      </c>
      <c r="D78" s="93">
        <f>126471+6800+1908054+149407+370136+50406+1400+47670+347334+7250+189700+51300+550+3900+128256+800</f>
        <v>3389434</v>
      </c>
      <c r="E78" s="16">
        <f>31617+257+457876+137743+104757+14270+1004+12868+69227+1085+42554+11455+25+38+891</f>
        <v>885667</v>
      </c>
      <c r="F78" s="66">
        <f t="shared" si="7"/>
        <v>26.130232953348553</v>
      </c>
    </row>
    <row r="79" spans="1:6" ht="19.5" customHeight="1">
      <c r="A79" s="14"/>
      <c r="B79" s="15" t="s">
        <v>13</v>
      </c>
      <c r="C79" s="16">
        <f>1889059+146417+355415+48398</f>
        <v>2439289</v>
      </c>
      <c r="D79" s="93">
        <f>1908054+149407+370136+50406</f>
        <v>2478003</v>
      </c>
      <c r="E79" s="16">
        <f>457876+137743+104757+14270</f>
        <v>714646</v>
      </c>
      <c r="F79" s="66">
        <f t="shared" si="7"/>
        <v>28.83959381808658</v>
      </c>
    </row>
    <row r="80" spans="1:6" ht="19.5" customHeight="1">
      <c r="A80" s="14"/>
      <c r="B80" s="15" t="s">
        <v>57</v>
      </c>
      <c r="C80" s="16">
        <v>118081</v>
      </c>
      <c r="D80" s="93">
        <v>126471</v>
      </c>
      <c r="E80" s="16">
        <v>31617</v>
      </c>
      <c r="F80" s="66">
        <f t="shared" si="7"/>
        <v>24.999406978674955</v>
      </c>
    </row>
    <row r="81" spans="1:6" s="7" customFormat="1" ht="22.5" customHeight="1">
      <c r="A81" s="11">
        <v>80110</v>
      </c>
      <c r="B81" s="12" t="s">
        <v>35</v>
      </c>
      <c r="C81" s="13">
        <f>C82</f>
        <v>3278138</v>
      </c>
      <c r="D81" s="92">
        <f>D82</f>
        <v>3410192</v>
      </c>
      <c r="E81" s="13">
        <f>E82</f>
        <v>931867</v>
      </c>
      <c r="F81" s="85">
        <f t="shared" si="7"/>
        <v>27.325939419246776</v>
      </c>
    </row>
    <row r="82" spans="1:6" ht="19.5" customHeight="1">
      <c r="A82" s="14"/>
      <c r="B82" s="15" t="s">
        <v>12</v>
      </c>
      <c r="C82" s="16">
        <f>13314+2216665+179019+417933+57045+23087+2995+136588+37347+33123+631+4513+155878</f>
        <v>3278138</v>
      </c>
      <c r="D82" s="93">
        <f>17200+2312203+181194+449071+61244+28610+9000+152200+32000+910+5100+161460</f>
        <v>3410192</v>
      </c>
      <c r="E82" s="16">
        <f>2485+534729+165089+127647+17407+7744+995+64686+10728+189+168</f>
        <v>931867</v>
      </c>
      <c r="F82" s="66">
        <f t="shared" si="7"/>
        <v>27.325939419246776</v>
      </c>
    </row>
    <row r="83" spans="1:6" ht="19.5" customHeight="1">
      <c r="A83" s="14"/>
      <c r="B83" s="15" t="s">
        <v>13</v>
      </c>
      <c r="C83" s="16">
        <f>2216665+179019+417933+57045</f>
        <v>2870662</v>
      </c>
      <c r="D83" s="93">
        <f>2312203+181194+449071+61244</f>
        <v>3003712</v>
      </c>
      <c r="E83" s="16">
        <f>534729+165089+127647+17407</f>
        <v>844872</v>
      </c>
      <c r="F83" s="66">
        <f>E83*100/D83</f>
        <v>28.127596786909</v>
      </c>
    </row>
    <row r="84" spans="1:6" s="7" customFormat="1" ht="21.75" customHeight="1">
      <c r="A84" s="11">
        <v>80113</v>
      </c>
      <c r="B84" s="12" t="s">
        <v>36</v>
      </c>
      <c r="C84" s="13">
        <f>C85</f>
        <v>27646</v>
      </c>
      <c r="D84" s="92">
        <f>D85</f>
        <v>30000</v>
      </c>
      <c r="E84" s="13">
        <f>E85+E86</f>
        <v>4118</v>
      </c>
      <c r="F84" s="85">
        <f t="shared" si="7"/>
        <v>13.726666666666667</v>
      </c>
    </row>
    <row r="85" spans="1:6" ht="20.25" customHeight="1">
      <c r="A85" s="14"/>
      <c r="B85" s="15" t="s">
        <v>12</v>
      </c>
      <c r="C85" s="16">
        <f>13846+13800</f>
        <v>27646</v>
      </c>
      <c r="D85" s="93">
        <f>15000+15000</f>
        <v>30000</v>
      </c>
      <c r="E85" s="16">
        <v>4118</v>
      </c>
      <c r="F85" s="66">
        <f t="shared" si="7"/>
        <v>13.726666666666667</v>
      </c>
    </row>
    <row r="86" spans="1:6" ht="20.25" customHeight="1">
      <c r="A86" s="14"/>
      <c r="B86" s="15" t="s">
        <v>57</v>
      </c>
      <c r="C86" s="16">
        <v>13846</v>
      </c>
      <c r="D86" s="93">
        <v>15000</v>
      </c>
      <c r="E86" s="16">
        <v>0</v>
      </c>
      <c r="F86" s="66">
        <v>0</v>
      </c>
    </row>
    <row r="87" spans="1:6" s="7" customFormat="1" ht="22.5" customHeight="1">
      <c r="A87" s="11" t="s">
        <v>87</v>
      </c>
      <c r="B87" s="12" t="s">
        <v>88</v>
      </c>
      <c r="C87" s="13">
        <f>C88</f>
        <v>1216</v>
      </c>
      <c r="D87" s="92">
        <f>D88</f>
        <v>2000</v>
      </c>
      <c r="E87" s="13">
        <f>E88</f>
        <v>0</v>
      </c>
      <c r="F87" s="85">
        <v>0</v>
      </c>
    </row>
    <row r="88" spans="1:6" ht="20.25" customHeight="1">
      <c r="A88" s="14"/>
      <c r="B88" s="15" t="s">
        <v>14</v>
      </c>
      <c r="C88" s="16">
        <f>1216</f>
        <v>1216</v>
      </c>
      <c r="D88" s="93">
        <v>2000</v>
      </c>
      <c r="E88" s="16">
        <v>0</v>
      </c>
      <c r="F88" s="66">
        <v>0</v>
      </c>
    </row>
    <row r="89" spans="1:6" s="7" customFormat="1" ht="33.75" customHeight="1">
      <c r="A89" s="11">
        <v>80146</v>
      </c>
      <c r="B89" s="12" t="s">
        <v>37</v>
      </c>
      <c r="C89" s="13">
        <f>C90</f>
        <v>57775</v>
      </c>
      <c r="D89" s="92">
        <f>D90</f>
        <v>66600</v>
      </c>
      <c r="E89" s="13">
        <f>E90</f>
        <v>11008</v>
      </c>
      <c r="F89" s="85">
        <f>E89*100/D89</f>
        <v>16.52852852852853</v>
      </c>
    </row>
    <row r="90" spans="1:6" ht="20.25" customHeight="1">
      <c r="A90" s="14"/>
      <c r="B90" s="15" t="s">
        <v>14</v>
      </c>
      <c r="C90" s="16">
        <f>22695+12885+20893+1302</f>
        <v>57775</v>
      </c>
      <c r="D90" s="93">
        <f>20700+13768+30084+2048</f>
        <v>66600</v>
      </c>
      <c r="E90" s="16">
        <f>3530+2419+4108+951</f>
        <v>11008</v>
      </c>
      <c r="F90" s="66">
        <f>E90*100/D90</f>
        <v>16.52852852852853</v>
      </c>
    </row>
    <row r="91" spans="1:6" s="7" customFormat="1" ht="22.5" customHeight="1">
      <c r="A91" s="11" t="s">
        <v>99</v>
      </c>
      <c r="B91" s="12" t="s">
        <v>18</v>
      </c>
      <c r="C91" s="13">
        <f>C92</f>
        <v>890</v>
      </c>
      <c r="D91" s="92">
        <f>D92</f>
        <v>82385</v>
      </c>
      <c r="E91" s="13">
        <f>E92</f>
        <v>21018</v>
      </c>
      <c r="F91" s="85">
        <f>E91*100/D91</f>
        <v>25.51192571463252</v>
      </c>
    </row>
    <row r="92" spans="1:6" s="6" customFormat="1" ht="20.25" customHeight="1">
      <c r="A92" s="14"/>
      <c r="B92" s="15" t="s">
        <v>12</v>
      </c>
      <c r="C92" s="16">
        <f>21+3+536+330</f>
        <v>890</v>
      </c>
      <c r="D92" s="93">
        <v>82385</v>
      </c>
      <c r="E92" s="16">
        <v>21018</v>
      </c>
      <c r="F92" s="66">
        <f>E92*100/D92</f>
        <v>25.51192571463252</v>
      </c>
    </row>
    <row r="93" spans="1:6" ht="20.25" customHeight="1">
      <c r="A93" s="24"/>
      <c r="B93" s="21" t="s">
        <v>13</v>
      </c>
      <c r="C93" s="17">
        <f>21+3+536</f>
        <v>560</v>
      </c>
      <c r="D93" s="94">
        <v>0</v>
      </c>
      <c r="E93" s="17">
        <v>0</v>
      </c>
      <c r="F93" s="86">
        <v>0</v>
      </c>
    </row>
    <row r="94" spans="1:6" ht="25.5" customHeight="1">
      <c r="A94" s="8">
        <v>851</v>
      </c>
      <c r="B94" s="9" t="s">
        <v>38</v>
      </c>
      <c r="C94" s="10">
        <f>C95+C98</f>
        <v>367435</v>
      </c>
      <c r="D94" s="95">
        <f>D95+D98</f>
        <v>241166</v>
      </c>
      <c r="E94" s="10">
        <f>E95+E98</f>
        <v>17972</v>
      </c>
      <c r="F94" s="90">
        <f>E94*100/D94</f>
        <v>7.4521284094772895</v>
      </c>
    </row>
    <row r="95" spans="1:6" s="7" customFormat="1" ht="21.75" customHeight="1">
      <c r="A95" s="11">
        <v>85153</v>
      </c>
      <c r="B95" s="12" t="s">
        <v>39</v>
      </c>
      <c r="C95" s="13">
        <f>C96</f>
        <v>4000</v>
      </c>
      <c r="D95" s="58">
        <f>D96</f>
        <v>4000</v>
      </c>
      <c r="E95" s="13">
        <f>E96</f>
        <v>0</v>
      </c>
      <c r="F95" s="85">
        <v>0</v>
      </c>
    </row>
    <row r="96" spans="1:6" ht="20.25" customHeight="1">
      <c r="A96" s="14"/>
      <c r="B96" s="15" t="s">
        <v>12</v>
      </c>
      <c r="C96" s="16">
        <v>4000</v>
      </c>
      <c r="D96" s="61">
        <v>4000</v>
      </c>
      <c r="E96" s="16">
        <v>0</v>
      </c>
      <c r="F96" s="66">
        <v>0</v>
      </c>
    </row>
    <row r="97" spans="1:6" ht="20.25" customHeight="1">
      <c r="A97" s="24"/>
      <c r="B97" s="21" t="s">
        <v>57</v>
      </c>
      <c r="C97" s="17">
        <v>4000</v>
      </c>
      <c r="D97" s="59">
        <v>4000</v>
      </c>
      <c r="E97" s="17">
        <v>0</v>
      </c>
      <c r="F97" s="86">
        <v>0</v>
      </c>
    </row>
    <row r="98" spans="1:6" s="7" customFormat="1" ht="27" customHeight="1">
      <c r="A98" s="39">
        <v>85154</v>
      </c>
      <c r="B98" s="40" t="s">
        <v>40</v>
      </c>
      <c r="C98" s="34">
        <f>C99+C102</f>
        <v>363435</v>
      </c>
      <c r="D98" s="57">
        <f>D99+D102</f>
        <v>237166</v>
      </c>
      <c r="E98" s="34">
        <f>E99</f>
        <v>17972</v>
      </c>
      <c r="F98" s="84">
        <f>E98*100/D98</f>
        <v>7.577814695192397</v>
      </c>
    </row>
    <row r="99" spans="1:6" ht="20.25" customHeight="1">
      <c r="A99" s="14"/>
      <c r="B99" s="15" t="s">
        <v>12</v>
      </c>
      <c r="C99" s="16">
        <f>3700+18000+2626+84286+4209+15536+2210+34247+16470+83936+275+5133</f>
        <v>270628</v>
      </c>
      <c r="D99" s="61">
        <f>21000+5000+35735+8525+8620+1615+50284+38609+63428+4350</f>
        <v>237166</v>
      </c>
      <c r="E99" s="16">
        <f>4730+7971+2203+313+741+510+1504</f>
        <v>17972</v>
      </c>
      <c r="F99" s="66">
        <f>E99*100/D99</f>
        <v>7.577814695192397</v>
      </c>
    </row>
    <row r="100" spans="1:6" ht="20.25" customHeight="1">
      <c r="A100" s="14"/>
      <c r="B100" s="15" t="s">
        <v>13</v>
      </c>
      <c r="C100" s="16">
        <f>84286+4209+15536+2210+34247</f>
        <v>140488</v>
      </c>
      <c r="D100" s="61">
        <f>35735+8525+8620+1615+50284</f>
        <v>104779</v>
      </c>
      <c r="E100" s="16">
        <f>4730+7971+2203+313+741</f>
        <v>15958</v>
      </c>
      <c r="F100" s="66">
        <f>E100*100/D100</f>
        <v>15.230151079891963</v>
      </c>
    </row>
    <row r="101" spans="1:6" ht="20.25" customHeight="1">
      <c r="A101" s="14"/>
      <c r="B101" s="15" t="s">
        <v>57</v>
      </c>
      <c r="C101" s="16">
        <f>3700+18000</f>
        <v>21700</v>
      </c>
      <c r="D101" s="61">
        <v>21000</v>
      </c>
      <c r="E101" s="16">
        <v>0</v>
      </c>
      <c r="F101" s="66">
        <v>0</v>
      </c>
    </row>
    <row r="102" spans="1:6" ht="19.5" customHeight="1">
      <c r="A102" s="24"/>
      <c r="B102" s="21" t="s">
        <v>56</v>
      </c>
      <c r="C102" s="17">
        <v>92807</v>
      </c>
      <c r="D102" s="59">
        <v>0</v>
      </c>
      <c r="E102" s="17">
        <v>0</v>
      </c>
      <c r="F102" s="86">
        <v>0</v>
      </c>
    </row>
    <row r="103" spans="1:6" ht="30" customHeight="1">
      <c r="A103" s="8">
        <v>852</v>
      </c>
      <c r="B103" s="9" t="s">
        <v>8</v>
      </c>
      <c r="C103" s="10">
        <f>C104+C107+C109+C111+C113+C119</f>
        <v>4858530</v>
      </c>
      <c r="D103" s="10">
        <f>D104+D107+D109+D111+D113+D116+D119</f>
        <v>5824381</v>
      </c>
      <c r="E103" s="10">
        <f>E104+E107+E109+E111+E113+E116+E119</f>
        <v>1312974</v>
      </c>
      <c r="F103" s="90">
        <f>E103*100/D103</f>
        <v>22.54272170725095</v>
      </c>
    </row>
    <row r="104" spans="1:6" s="7" customFormat="1" ht="60" customHeight="1">
      <c r="A104" s="11" t="s">
        <v>89</v>
      </c>
      <c r="B104" s="12" t="s">
        <v>146</v>
      </c>
      <c r="C104" s="13">
        <f>C105+C106</f>
        <v>2598367</v>
      </c>
      <c r="D104" s="13">
        <f>D105+D106</f>
        <v>3518600</v>
      </c>
      <c r="E104" s="13">
        <f>E105+E106</f>
        <v>786452</v>
      </c>
      <c r="F104" s="85">
        <f>E104*100/D104</f>
        <v>22.35127607571193</v>
      </c>
    </row>
    <row r="105" spans="1:6" ht="20.25" customHeight="1">
      <c r="A105" s="14"/>
      <c r="B105" s="15" t="s">
        <v>14</v>
      </c>
      <c r="C105" s="16">
        <f>2495238+46860+44822+3447</f>
        <v>2590367</v>
      </c>
      <c r="D105" s="16">
        <f>3396055+50320+4500+46270+1455+10000+10000</f>
        <v>3518600</v>
      </c>
      <c r="E105" s="16">
        <f>755390+14579+3655+11375+452+1001</f>
        <v>786452</v>
      </c>
      <c r="F105" s="66">
        <f>E105*100/D105</f>
        <v>22.35127607571193</v>
      </c>
    </row>
    <row r="106" spans="1:6" ht="20.25" customHeight="1">
      <c r="A106" s="14"/>
      <c r="B106" s="15" t="s">
        <v>56</v>
      </c>
      <c r="C106" s="16">
        <v>8000</v>
      </c>
      <c r="D106" s="16">
        <v>0</v>
      </c>
      <c r="E106" s="16">
        <v>0</v>
      </c>
      <c r="F106" s="66">
        <v>0</v>
      </c>
    </row>
    <row r="107" spans="1:6" s="7" customFormat="1" ht="73.5" customHeight="1">
      <c r="A107" s="11">
        <v>85213</v>
      </c>
      <c r="B107" s="12" t="s">
        <v>100</v>
      </c>
      <c r="C107" s="13">
        <f>C108</f>
        <v>21622</v>
      </c>
      <c r="D107" s="13">
        <f>D108</f>
        <v>23000</v>
      </c>
      <c r="E107" s="13">
        <f>E108</f>
        <v>3494</v>
      </c>
      <c r="F107" s="85">
        <f aca="true" t="shared" si="8" ref="F107:F120">E107*100/D107</f>
        <v>15.191304347826087</v>
      </c>
    </row>
    <row r="108" spans="1:6" ht="20.25" customHeight="1">
      <c r="A108" s="14"/>
      <c r="B108" s="15" t="s">
        <v>14</v>
      </c>
      <c r="C108" s="16">
        <v>21622</v>
      </c>
      <c r="D108" s="16">
        <v>23000</v>
      </c>
      <c r="E108" s="16">
        <v>3494</v>
      </c>
      <c r="F108" s="66">
        <f t="shared" si="8"/>
        <v>15.191304347826087</v>
      </c>
    </row>
    <row r="109" spans="1:6" s="7" customFormat="1" ht="43.5" customHeight="1">
      <c r="A109" s="11">
        <v>85214</v>
      </c>
      <c r="B109" s="12" t="s">
        <v>102</v>
      </c>
      <c r="C109" s="13">
        <f>C110</f>
        <v>662085</v>
      </c>
      <c r="D109" s="13">
        <f>D110</f>
        <v>729600</v>
      </c>
      <c r="E109" s="13">
        <f>E110</f>
        <v>127709</v>
      </c>
      <c r="F109" s="85">
        <f t="shared" si="8"/>
        <v>17.503974780701753</v>
      </c>
    </row>
    <row r="110" spans="1:6" ht="20.25" customHeight="1">
      <c r="A110" s="14"/>
      <c r="B110" s="15" t="s">
        <v>14</v>
      </c>
      <c r="C110" s="16">
        <f>651067+11018</f>
        <v>662085</v>
      </c>
      <c r="D110" s="16">
        <f>627600+102000</f>
        <v>729600</v>
      </c>
      <c r="E110" s="16">
        <f>113662+14047</f>
        <v>127709</v>
      </c>
      <c r="F110" s="66">
        <f t="shared" si="8"/>
        <v>17.503974780701753</v>
      </c>
    </row>
    <row r="111" spans="1:6" s="7" customFormat="1" ht="26.25" customHeight="1">
      <c r="A111" s="11">
        <v>85215</v>
      </c>
      <c r="B111" s="12" t="s">
        <v>41</v>
      </c>
      <c r="C111" s="13">
        <f>C112</f>
        <v>408570</v>
      </c>
      <c r="D111" s="13">
        <f>D112</f>
        <v>450000</v>
      </c>
      <c r="E111" s="13">
        <f>E112</f>
        <v>95813</v>
      </c>
      <c r="F111" s="85">
        <f t="shared" si="8"/>
        <v>21.291777777777778</v>
      </c>
    </row>
    <row r="112" spans="1:6" ht="20.25" customHeight="1">
      <c r="A112" s="24"/>
      <c r="B112" s="21" t="s">
        <v>14</v>
      </c>
      <c r="C112" s="17">
        <v>408570</v>
      </c>
      <c r="D112" s="17">
        <v>450000</v>
      </c>
      <c r="E112" s="17">
        <v>95813</v>
      </c>
      <c r="F112" s="86">
        <f t="shared" si="8"/>
        <v>21.291777777777778</v>
      </c>
    </row>
    <row r="113" spans="1:6" s="7" customFormat="1" ht="29.25" customHeight="1">
      <c r="A113" s="39">
        <v>85219</v>
      </c>
      <c r="B113" s="40" t="s">
        <v>15</v>
      </c>
      <c r="C113" s="34">
        <f>C114</f>
        <v>889846</v>
      </c>
      <c r="D113" s="34">
        <f>D114</f>
        <v>806971</v>
      </c>
      <c r="E113" s="34">
        <f>E114</f>
        <v>217704</v>
      </c>
      <c r="F113" s="84">
        <f t="shared" si="8"/>
        <v>26.977921139669206</v>
      </c>
    </row>
    <row r="114" spans="1:6" ht="22.5" customHeight="1">
      <c r="A114" s="14"/>
      <c r="B114" s="15" t="s">
        <v>12</v>
      </c>
      <c r="C114" s="16">
        <f>7897+610720+47027+111669+15505+10700+8000+34114+3098+17944+125+316+22731</f>
        <v>889846</v>
      </c>
      <c r="D114" s="16">
        <f>9942+564775+39409+105020+14512+13203+8400+13213+5000+13766+950+450+18331</f>
        <v>806971</v>
      </c>
      <c r="E114" s="16">
        <f>22+135692+39408+27832+4023+2062+1050+2794+2025+2775+21</f>
        <v>217704</v>
      </c>
      <c r="F114" s="66">
        <f t="shared" si="8"/>
        <v>26.977921139669206</v>
      </c>
    </row>
    <row r="115" spans="1:6" ht="22.5" customHeight="1">
      <c r="A115" s="14"/>
      <c r="B115" s="15" t="s">
        <v>13</v>
      </c>
      <c r="C115" s="16">
        <f>610720+47027+111669+15505+8000</f>
        <v>792921</v>
      </c>
      <c r="D115" s="16">
        <f>564775+39409+105020+14512+8400</f>
        <v>732116</v>
      </c>
      <c r="E115" s="16">
        <f>135692+39408+27832+4023+1050</f>
        <v>208005</v>
      </c>
      <c r="F115" s="66">
        <f t="shared" si="8"/>
        <v>28.411481240677706</v>
      </c>
    </row>
    <row r="116" spans="1:6" s="7" customFormat="1" ht="41.25" customHeight="1">
      <c r="A116" s="11" t="s">
        <v>101</v>
      </c>
      <c r="B116" s="12" t="s">
        <v>137</v>
      </c>
      <c r="C116" s="13">
        <f>C117</f>
        <v>0</v>
      </c>
      <c r="D116" s="13">
        <f>D117</f>
        <v>114810</v>
      </c>
      <c r="E116" s="13">
        <f>E117</f>
        <v>35300</v>
      </c>
      <c r="F116" s="85">
        <f t="shared" si="8"/>
        <v>30.74645065760822</v>
      </c>
    </row>
    <row r="117" spans="1:6" ht="22.5" customHeight="1">
      <c r="A117" s="14"/>
      <c r="B117" s="15" t="s">
        <v>12</v>
      </c>
      <c r="C117" s="16">
        <v>0</v>
      </c>
      <c r="D117" s="16">
        <f>81630+8504+14599+2320+590+3500+3667</f>
        <v>114810</v>
      </c>
      <c r="E117" s="16">
        <f>20762+8503+5124+531+380</f>
        <v>35300</v>
      </c>
      <c r="F117" s="66">
        <f t="shared" si="8"/>
        <v>30.74645065760822</v>
      </c>
    </row>
    <row r="118" spans="1:6" ht="22.5" customHeight="1">
      <c r="A118" s="14"/>
      <c r="B118" s="15" t="s">
        <v>13</v>
      </c>
      <c r="C118" s="16">
        <v>0</v>
      </c>
      <c r="D118" s="16">
        <f>81630+8504+14599+2320+3500</f>
        <v>110553</v>
      </c>
      <c r="E118" s="16">
        <f>20762+8503+5124+531</f>
        <v>34920</v>
      </c>
      <c r="F118" s="66">
        <f t="shared" si="8"/>
        <v>31.586659792135897</v>
      </c>
    </row>
    <row r="119" spans="1:6" s="7" customFormat="1" ht="28.5" customHeight="1">
      <c r="A119" s="11">
        <v>85295</v>
      </c>
      <c r="B119" s="12" t="s">
        <v>18</v>
      </c>
      <c r="C119" s="13">
        <f>C120</f>
        <v>278040</v>
      </c>
      <c r="D119" s="13">
        <f>D120</f>
        <v>181400</v>
      </c>
      <c r="E119" s="13">
        <f>E120</f>
        <v>46502</v>
      </c>
      <c r="F119" s="85">
        <f t="shared" si="8"/>
        <v>25.635060639470783</v>
      </c>
    </row>
    <row r="120" spans="1:6" ht="22.5" customHeight="1">
      <c r="A120" s="14"/>
      <c r="B120" s="15" t="s">
        <v>12</v>
      </c>
      <c r="C120" s="16">
        <f>50000+228040</f>
        <v>278040</v>
      </c>
      <c r="D120" s="16">
        <f>10000+60000+111400</f>
        <v>181400</v>
      </c>
      <c r="E120" s="16">
        <v>46502</v>
      </c>
      <c r="F120" s="66">
        <f t="shared" si="8"/>
        <v>25.635060639470783</v>
      </c>
    </row>
    <row r="121" spans="1:6" ht="22.5" customHeight="1">
      <c r="A121" s="24"/>
      <c r="B121" s="21" t="s">
        <v>57</v>
      </c>
      <c r="C121" s="17">
        <v>50000</v>
      </c>
      <c r="D121" s="17">
        <f>10000+60000</f>
        <v>70000</v>
      </c>
      <c r="E121" s="17">
        <v>0</v>
      </c>
      <c r="F121" s="86">
        <v>0</v>
      </c>
    </row>
    <row r="122" spans="1:6" ht="44.25" customHeight="1">
      <c r="A122" s="18" t="s">
        <v>92</v>
      </c>
      <c r="B122" s="9" t="s">
        <v>93</v>
      </c>
      <c r="C122" s="10">
        <f>C123</f>
        <v>51016</v>
      </c>
      <c r="D122" s="10">
        <f>D123</f>
        <v>8000</v>
      </c>
      <c r="E122" s="10">
        <f>E123</f>
        <v>3099</v>
      </c>
      <c r="F122" s="90">
        <f>E122*100/D122</f>
        <v>38.7375</v>
      </c>
    </row>
    <row r="123" spans="1:6" s="7" customFormat="1" ht="28.5" customHeight="1">
      <c r="A123" s="11" t="s">
        <v>94</v>
      </c>
      <c r="B123" s="12" t="s">
        <v>18</v>
      </c>
      <c r="C123" s="13">
        <f>C124+C125</f>
        <v>51016</v>
      </c>
      <c r="D123" s="13">
        <f>D124+D125</f>
        <v>8000</v>
      </c>
      <c r="E123" s="13">
        <f>E124+E125</f>
        <v>3099</v>
      </c>
      <c r="F123" s="85">
        <f>E123*100/D123</f>
        <v>38.7375</v>
      </c>
    </row>
    <row r="124" spans="1:6" ht="22.5" customHeight="1">
      <c r="A124" s="14"/>
      <c r="B124" s="15" t="s">
        <v>14</v>
      </c>
      <c r="C124" s="16">
        <f>9845+7209</f>
        <v>17054</v>
      </c>
      <c r="D124" s="16">
        <f>3600+4000+400</f>
        <v>8000</v>
      </c>
      <c r="E124" s="16">
        <f>712+1970+417</f>
        <v>3099</v>
      </c>
      <c r="F124" s="66">
        <f>E124*100/D124</f>
        <v>38.7375</v>
      </c>
    </row>
    <row r="125" spans="1:6" ht="22.5" customHeight="1">
      <c r="A125" s="24"/>
      <c r="B125" s="21" t="s">
        <v>56</v>
      </c>
      <c r="C125" s="17">
        <v>33962</v>
      </c>
      <c r="D125" s="17">
        <v>0</v>
      </c>
      <c r="E125" s="17">
        <v>0</v>
      </c>
      <c r="F125" s="86">
        <v>0</v>
      </c>
    </row>
    <row r="126" spans="1:6" ht="34.5" customHeight="1">
      <c r="A126" s="8" t="s">
        <v>90</v>
      </c>
      <c r="B126" s="9" t="s">
        <v>42</v>
      </c>
      <c r="C126" s="10">
        <f>C127+C130</f>
        <v>891668</v>
      </c>
      <c r="D126" s="10">
        <f>D127+D130</f>
        <v>869507</v>
      </c>
      <c r="E126" s="10">
        <f>E127+E130</f>
        <v>222153</v>
      </c>
      <c r="F126" s="90">
        <f aca="true" t="shared" si="9" ref="F126:F131">E126*100/D126</f>
        <v>25.549305526004964</v>
      </c>
    </row>
    <row r="127" spans="1:6" s="7" customFormat="1" ht="24.75" customHeight="1">
      <c r="A127" s="11">
        <v>85401</v>
      </c>
      <c r="B127" s="12" t="s">
        <v>43</v>
      </c>
      <c r="C127" s="13">
        <f>C128</f>
        <v>802490</v>
      </c>
      <c r="D127" s="13">
        <f>D128</f>
        <v>835878</v>
      </c>
      <c r="E127" s="13">
        <f>E128</f>
        <v>217923</v>
      </c>
      <c r="F127" s="85">
        <f t="shared" si="9"/>
        <v>26.07114913898918</v>
      </c>
    </row>
    <row r="128" spans="1:6" ht="22.5" customHeight="1">
      <c r="A128" s="14"/>
      <c r="B128" s="15" t="s">
        <v>12</v>
      </c>
      <c r="C128" s="16">
        <f>2518+443198+38327+82109+11284+10321+172131+10233+32369</f>
        <v>802490</v>
      </c>
      <c r="D128" s="16">
        <f>3450+421675+35973+82516+11271+10650+238257+3950+28136</f>
        <v>835878</v>
      </c>
      <c r="E128" s="16">
        <f>72+101929+32402+24574+3347+596+54258+745</f>
        <v>217923</v>
      </c>
      <c r="F128" s="66">
        <f t="shared" si="9"/>
        <v>26.07114913898918</v>
      </c>
    </row>
    <row r="129" spans="1:6" ht="22.5" customHeight="1">
      <c r="A129" s="24"/>
      <c r="B129" s="21" t="s">
        <v>13</v>
      </c>
      <c r="C129" s="17">
        <f>443198+38326+82109+11193</f>
        <v>574826</v>
      </c>
      <c r="D129" s="17">
        <f>421675+35973+82516+11271</f>
        <v>551435</v>
      </c>
      <c r="E129" s="17">
        <f>101929+32402+24574+3347</f>
        <v>162252</v>
      </c>
      <c r="F129" s="86">
        <f t="shared" si="9"/>
        <v>29.423594802651266</v>
      </c>
    </row>
    <row r="130" spans="1:6" s="7" customFormat="1" ht="32.25" customHeight="1">
      <c r="A130" s="38" t="s">
        <v>98</v>
      </c>
      <c r="B130" s="40" t="s">
        <v>107</v>
      </c>
      <c r="C130" s="34">
        <f>C132</f>
        <v>89178</v>
      </c>
      <c r="D130" s="34">
        <f>D131+D132</f>
        <v>33629</v>
      </c>
      <c r="E130" s="34">
        <f>E131+E132</f>
        <v>4230</v>
      </c>
      <c r="F130" s="84">
        <f t="shared" si="9"/>
        <v>12.578429331826698</v>
      </c>
    </row>
    <row r="131" spans="1:6" s="5" customFormat="1" ht="50.25" customHeight="1">
      <c r="A131" s="23"/>
      <c r="B131" s="15" t="s">
        <v>138</v>
      </c>
      <c r="C131" s="16">
        <v>0</v>
      </c>
      <c r="D131" s="16">
        <v>4230</v>
      </c>
      <c r="E131" s="16">
        <v>4230</v>
      </c>
      <c r="F131" s="66">
        <f t="shared" si="9"/>
        <v>100</v>
      </c>
    </row>
    <row r="132" spans="1:6" ht="26.25" customHeight="1">
      <c r="A132" s="20"/>
      <c r="B132" s="21" t="s">
        <v>108</v>
      </c>
      <c r="C132" s="17">
        <v>89178</v>
      </c>
      <c r="D132" s="17">
        <v>29399</v>
      </c>
      <c r="E132" s="17">
        <v>0</v>
      </c>
      <c r="F132" s="86">
        <v>0</v>
      </c>
    </row>
    <row r="133" spans="1:6" ht="51" customHeight="1">
      <c r="A133" s="8">
        <v>900</v>
      </c>
      <c r="B133" s="56" t="s">
        <v>9</v>
      </c>
      <c r="C133" s="10">
        <f>C134+C136+C138+C140+C143</f>
        <v>1961194</v>
      </c>
      <c r="D133" s="95">
        <f>D134+D136+D138+D140+D143</f>
        <v>1350300</v>
      </c>
      <c r="E133" s="91">
        <f>E134+E136+E138+E140+E143</f>
        <v>239391</v>
      </c>
      <c r="F133" s="90">
        <f>E133*100/D133</f>
        <v>17.728726949566763</v>
      </c>
    </row>
    <row r="134" spans="1:6" s="7" customFormat="1" ht="26.25" customHeight="1">
      <c r="A134" s="11">
        <v>90001</v>
      </c>
      <c r="B134" s="30" t="s">
        <v>44</v>
      </c>
      <c r="C134" s="13">
        <f>C135</f>
        <v>862086</v>
      </c>
      <c r="D134" s="58">
        <f>D135</f>
        <v>400000</v>
      </c>
      <c r="E134" s="92">
        <f>E135</f>
        <v>997</v>
      </c>
      <c r="F134" s="85">
        <f>E134*100/D134</f>
        <v>0.24925</v>
      </c>
    </row>
    <row r="135" spans="1:6" ht="23.25" customHeight="1">
      <c r="A135" s="14"/>
      <c r="B135" s="53" t="s">
        <v>16</v>
      </c>
      <c r="C135" s="16">
        <v>862086</v>
      </c>
      <c r="D135" s="61">
        <v>400000</v>
      </c>
      <c r="E135" s="93">
        <v>997</v>
      </c>
      <c r="F135" s="66">
        <f>E135*100/D135</f>
        <v>0.24925</v>
      </c>
    </row>
    <row r="136" spans="1:6" s="7" customFormat="1" ht="26.25" customHeight="1">
      <c r="A136" s="11" t="s">
        <v>115</v>
      </c>
      <c r="B136" s="30" t="s">
        <v>45</v>
      </c>
      <c r="C136" s="13">
        <f>C137</f>
        <v>264808</v>
      </c>
      <c r="D136" s="58">
        <f>D137</f>
        <v>219100</v>
      </c>
      <c r="E136" s="92">
        <f>E137</f>
        <v>42205</v>
      </c>
      <c r="F136" s="66">
        <f aca="true" t="shared" si="10" ref="F136:F164">E136*100/D136</f>
        <v>19.2628936558649</v>
      </c>
    </row>
    <row r="137" spans="1:6" ht="23.25" customHeight="1">
      <c r="A137" s="14"/>
      <c r="B137" s="53" t="s">
        <v>14</v>
      </c>
      <c r="C137" s="16">
        <f>655+264153</f>
        <v>264808</v>
      </c>
      <c r="D137" s="61">
        <f>1000+218100</f>
        <v>219100</v>
      </c>
      <c r="E137" s="93">
        <v>42205</v>
      </c>
      <c r="F137" s="85">
        <f t="shared" si="10"/>
        <v>19.2628936558649</v>
      </c>
    </row>
    <row r="138" spans="1:6" s="7" customFormat="1" ht="27" customHeight="1">
      <c r="A138" s="11">
        <v>90004</v>
      </c>
      <c r="B138" s="30" t="s">
        <v>46</v>
      </c>
      <c r="C138" s="13">
        <f>C139</f>
        <v>32481</v>
      </c>
      <c r="D138" s="58">
        <f>D139</f>
        <v>40200</v>
      </c>
      <c r="E138" s="92">
        <f>E139</f>
        <v>0</v>
      </c>
      <c r="F138" s="66">
        <f t="shared" si="10"/>
        <v>0</v>
      </c>
    </row>
    <row r="139" spans="1:6" ht="23.25" customHeight="1">
      <c r="A139" s="14"/>
      <c r="B139" s="53" t="s">
        <v>14</v>
      </c>
      <c r="C139" s="16">
        <f>10491+21990</f>
        <v>32481</v>
      </c>
      <c r="D139" s="61">
        <f>10000+30200</f>
        <v>40200</v>
      </c>
      <c r="E139" s="93">
        <v>0</v>
      </c>
      <c r="F139" s="66">
        <f t="shared" si="10"/>
        <v>0</v>
      </c>
    </row>
    <row r="140" spans="1:6" s="7" customFormat="1" ht="26.25" customHeight="1">
      <c r="A140" s="11">
        <v>90015</v>
      </c>
      <c r="B140" s="30" t="s">
        <v>147</v>
      </c>
      <c r="C140" s="13">
        <f>C141+C142</f>
        <v>682899</v>
      </c>
      <c r="D140" s="58">
        <f>D141+D142</f>
        <v>610000</v>
      </c>
      <c r="E140" s="92">
        <f>E141+E142</f>
        <v>170255</v>
      </c>
      <c r="F140" s="85">
        <f t="shared" si="10"/>
        <v>27.910655737704918</v>
      </c>
    </row>
    <row r="141" spans="1:6" ht="24" customHeight="1">
      <c r="A141" s="14"/>
      <c r="B141" s="53" t="s">
        <v>14</v>
      </c>
      <c r="C141" s="16">
        <f>432980+30650+150228</f>
        <v>613858</v>
      </c>
      <c r="D141" s="61">
        <f>470000+140000</f>
        <v>610000</v>
      </c>
      <c r="E141" s="93">
        <f>126236+44019</f>
        <v>170255</v>
      </c>
      <c r="F141" s="66">
        <f t="shared" si="10"/>
        <v>27.910655737704918</v>
      </c>
    </row>
    <row r="142" spans="1:6" ht="23.25" customHeight="1">
      <c r="A142" s="14"/>
      <c r="B142" s="53" t="s">
        <v>56</v>
      </c>
      <c r="C142" s="16">
        <v>69041</v>
      </c>
      <c r="D142" s="61">
        <v>0</v>
      </c>
      <c r="E142" s="93">
        <v>0</v>
      </c>
      <c r="F142" s="66">
        <v>0</v>
      </c>
    </row>
    <row r="143" spans="1:6" s="7" customFormat="1" ht="26.25" customHeight="1">
      <c r="A143" s="11">
        <v>90095</v>
      </c>
      <c r="B143" s="30" t="s">
        <v>18</v>
      </c>
      <c r="C143" s="13">
        <f>C144+C145</f>
        <v>118920</v>
      </c>
      <c r="D143" s="58">
        <f>D144+D145</f>
        <v>81000</v>
      </c>
      <c r="E143" s="92">
        <f>E144+E145</f>
        <v>25934</v>
      </c>
      <c r="F143" s="85">
        <f t="shared" si="10"/>
        <v>32.01728395061728</v>
      </c>
    </row>
    <row r="144" spans="1:6" ht="23.25" customHeight="1">
      <c r="A144" s="14"/>
      <c r="B144" s="53" t="s">
        <v>14</v>
      </c>
      <c r="C144" s="16">
        <f>59+15554+99807</f>
        <v>115420</v>
      </c>
      <c r="D144" s="61">
        <f>1000+16000+64000</f>
        <v>81000</v>
      </c>
      <c r="E144" s="93">
        <f>5939+19995</f>
        <v>25934</v>
      </c>
      <c r="F144" s="85">
        <f t="shared" si="10"/>
        <v>32.01728395061728</v>
      </c>
    </row>
    <row r="145" spans="1:6" ht="23.25" customHeight="1">
      <c r="A145" s="24"/>
      <c r="B145" s="54" t="s">
        <v>56</v>
      </c>
      <c r="C145" s="17">
        <v>3500</v>
      </c>
      <c r="D145" s="59">
        <v>0</v>
      </c>
      <c r="E145" s="94">
        <v>0</v>
      </c>
      <c r="F145" s="86">
        <v>0</v>
      </c>
    </row>
    <row r="146" spans="1:6" ht="37.5" customHeight="1">
      <c r="A146" s="18" t="s">
        <v>109</v>
      </c>
      <c r="B146" s="9" t="s">
        <v>47</v>
      </c>
      <c r="C146" s="10">
        <f>C147+C150+C153</f>
        <v>1822599</v>
      </c>
      <c r="D146" s="10">
        <f>D147+D150+D153</f>
        <v>1800000</v>
      </c>
      <c r="E146" s="91">
        <f>E147+E150+E153</f>
        <v>430832</v>
      </c>
      <c r="F146" s="90">
        <f>E146*100/D146</f>
        <v>23.935111111111112</v>
      </c>
    </row>
    <row r="147" spans="1:6" s="7" customFormat="1" ht="27" customHeight="1">
      <c r="A147" s="19">
        <v>92105</v>
      </c>
      <c r="B147" s="12" t="s">
        <v>91</v>
      </c>
      <c r="C147" s="13">
        <f>C148</f>
        <v>125099</v>
      </c>
      <c r="D147" s="13">
        <f>D148</f>
        <v>110000</v>
      </c>
      <c r="E147" s="92">
        <f>E148</f>
        <v>0</v>
      </c>
      <c r="F147" s="85">
        <f t="shared" si="10"/>
        <v>0</v>
      </c>
    </row>
    <row r="148" spans="1:6" ht="20.25" customHeight="1">
      <c r="A148" s="23"/>
      <c r="B148" s="15" t="s">
        <v>12</v>
      </c>
      <c r="C148" s="16">
        <f>8500+4738+1192+110669</f>
        <v>125099</v>
      </c>
      <c r="D148" s="16">
        <f>10000+5000+4000+86000+5000</f>
        <v>110000</v>
      </c>
      <c r="E148" s="93">
        <v>0</v>
      </c>
      <c r="F148" s="85">
        <f t="shared" si="10"/>
        <v>0</v>
      </c>
    </row>
    <row r="149" spans="1:6" ht="20.25" customHeight="1">
      <c r="A149" s="23"/>
      <c r="B149" s="15" t="s">
        <v>57</v>
      </c>
      <c r="C149" s="16">
        <v>8500</v>
      </c>
      <c r="D149" s="16">
        <v>10000</v>
      </c>
      <c r="E149" s="93">
        <v>0</v>
      </c>
      <c r="F149" s="66">
        <f t="shared" si="10"/>
        <v>0</v>
      </c>
    </row>
    <row r="150" spans="1:6" s="7" customFormat="1" ht="25.5" customHeight="1">
      <c r="A150" s="19">
        <v>92109</v>
      </c>
      <c r="B150" s="12" t="s">
        <v>48</v>
      </c>
      <c r="C150" s="13">
        <f>C151</f>
        <v>990000</v>
      </c>
      <c r="D150" s="13">
        <f>D151</f>
        <v>1000000</v>
      </c>
      <c r="E150" s="92">
        <f>E151</f>
        <v>258332</v>
      </c>
      <c r="F150" s="66">
        <f>E150*100/D150</f>
        <v>25.8332</v>
      </c>
    </row>
    <row r="151" spans="1:6" ht="20.25" customHeight="1">
      <c r="A151" s="23"/>
      <c r="B151" s="15" t="s">
        <v>12</v>
      </c>
      <c r="C151" s="16">
        <v>990000</v>
      </c>
      <c r="D151" s="16">
        <v>1000000</v>
      </c>
      <c r="E151" s="93">
        <v>258332</v>
      </c>
      <c r="F151" s="85">
        <f t="shared" si="10"/>
        <v>25.8332</v>
      </c>
    </row>
    <row r="152" spans="1:6" ht="21" customHeight="1">
      <c r="A152" s="23"/>
      <c r="B152" s="15" t="s">
        <v>57</v>
      </c>
      <c r="C152" s="16">
        <v>990000</v>
      </c>
      <c r="D152" s="16">
        <v>1000000</v>
      </c>
      <c r="E152" s="93">
        <v>258332</v>
      </c>
      <c r="F152" s="85">
        <f t="shared" si="10"/>
        <v>25.8332</v>
      </c>
    </row>
    <row r="153" spans="1:6" s="7" customFormat="1" ht="26.25" customHeight="1">
      <c r="A153" s="19">
        <v>92116</v>
      </c>
      <c r="B153" s="12" t="s">
        <v>49</v>
      </c>
      <c r="C153" s="13">
        <f>C154</f>
        <v>707500</v>
      </c>
      <c r="D153" s="13">
        <f>D154</f>
        <v>690000</v>
      </c>
      <c r="E153" s="92">
        <f>E154</f>
        <v>172500</v>
      </c>
      <c r="F153" s="66">
        <f t="shared" si="10"/>
        <v>25</v>
      </c>
    </row>
    <row r="154" spans="1:6" ht="20.25" customHeight="1">
      <c r="A154" s="23"/>
      <c r="B154" s="15" t="s">
        <v>12</v>
      </c>
      <c r="C154" s="16">
        <v>707500</v>
      </c>
      <c r="D154" s="16">
        <v>690000</v>
      </c>
      <c r="E154" s="93">
        <v>172500</v>
      </c>
      <c r="F154" s="66">
        <f>E154*100/D154</f>
        <v>25</v>
      </c>
    </row>
    <row r="155" spans="1:6" ht="20.25" customHeight="1">
      <c r="A155" s="20"/>
      <c r="B155" s="21" t="s">
        <v>57</v>
      </c>
      <c r="C155" s="17">
        <v>707500</v>
      </c>
      <c r="D155" s="17">
        <v>690000</v>
      </c>
      <c r="E155" s="94">
        <v>172500</v>
      </c>
      <c r="F155" s="96">
        <f t="shared" si="10"/>
        <v>25</v>
      </c>
    </row>
    <row r="156" spans="1:6" ht="23.25" customHeight="1">
      <c r="A156" s="8">
        <v>926</v>
      </c>
      <c r="B156" s="9" t="s">
        <v>10</v>
      </c>
      <c r="C156" s="10">
        <f>C157+C160+C163</f>
        <v>2312696</v>
      </c>
      <c r="D156" s="10">
        <f>D157+D160+D163</f>
        <v>6441166</v>
      </c>
      <c r="E156" s="91">
        <f>E157+E160+E163</f>
        <v>462378</v>
      </c>
      <c r="F156" s="90">
        <f t="shared" si="10"/>
        <v>7.178482902008736</v>
      </c>
    </row>
    <row r="157" spans="1:6" s="7" customFormat="1" ht="25.5" customHeight="1">
      <c r="A157" s="11">
        <v>92604</v>
      </c>
      <c r="B157" s="12" t="s">
        <v>50</v>
      </c>
      <c r="C157" s="13">
        <f>C158</f>
        <v>668965</v>
      </c>
      <c r="D157" s="13">
        <f>D158</f>
        <v>894134</v>
      </c>
      <c r="E157" s="92">
        <f>E158</f>
        <v>219995</v>
      </c>
      <c r="F157" s="66">
        <f>E157*100/D157</f>
        <v>24.60425394851331</v>
      </c>
    </row>
    <row r="158" spans="1:6" ht="20.25" customHeight="1">
      <c r="A158" s="14"/>
      <c r="B158" s="15" t="s">
        <v>12</v>
      </c>
      <c r="C158" s="16">
        <f>6049+211494+10307+38355+5302+57089+183547+122241+1500+3081+8310+21687+3</f>
        <v>668965</v>
      </c>
      <c r="D158" s="16">
        <f>8216+244856+15456+46154+6378+110256+235100+70000+118866+2300+4500+10052+22000</f>
        <v>894134</v>
      </c>
      <c r="E158" s="93">
        <f>482+53173+14398+11980+1656+25132+70088+443+35201+401+1690+5351</f>
        <v>219995</v>
      </c>
      <c r="F158" s="85">
        <f t="shared" si="10"/>
        <v>24.60425394851331</v>
      </c>
    </row>
    <row r="159" spans="1:6" ht="20.25" customHeight="1">
      <c r="A159" s="14"/>
      <c r="B159" s="15" t="s">
        <v>13</v>
      </c>
      <c r="C159" s="16">
        <f>211494+10307+38355+5302</f>
        <v>265458</v>
      </c>
      <c r="D159" s="16">
        <f>244856+15456+46154+6378</f>
        <v>312844</v>
      </c>
      <c r="E159" s="93">
        <f>53173+14398+11980+1656</f>
        <v>81207</v>
      </c>
      <c r="F159" s="66">
        <f t="shared" si="10"/>
        <v>25.957665801485724</v>
      </c>
    </row>
    <row r="160" spans="1:6" s="7" customFormat="1" ht="25.5" customHeight="1">
      <c r="A160" s="11">
        <v>92605</v>
      </c>
      <c r="B160" s="12" t="s">
        <v>51</v>
      </c>
      <c r="C160" s="13">
        <f>C161</f>
        <v>50765</v>
      </c>
      <c r="D160" s="13">
        <f>D161</f>
        <v>50000</v>
      </c>
      <c r="E160" s="92">
        <f>E161</f>
        <v>1000</v>
      </c>
      <c r="F160" s="85">
        <f>E160*100/D160</f>
        <v>2</v>
      </c>
    </row>
    <row r="161" spans="1:6" ht="20.25" customHeight="1">
      <c r="A161" s="14"/>
      <c r="B161" s="15" t="s">
        <v>12</v>
      </c>
      <c r="C161" s="16">
        <f>35000+15765</f>
        <v>50765</v>
      </c>
      <c r="D161" s="16">
        <f>45000+5000</f>
        <v>50000</v>
      </c>
      <c r="E161" s="93">
        <v>1000</v>
      </c>
      <c r="F161" s="66">
        <f t="shared" si="10"/>
        <v>2</v>
      </c>
    </row>
    <row r="162" spans="1:6" s="6" customFormat="1" ht="20.25" customHeight="1">
      <c r="A162" s="14"/>
      <c r="B162" s="15" t="s">
        <v>57</v>
      </c>
      <c r="C162" s="16">
        <v>35000</v>
      </c>
      <c r="D162" s="16">
        <v>45000</v>
      </c>
      <c r="E162" s="93">
        <v>0</v>
      </c>
      <c r="F162" s="66">
        <v>0</v>
      </c>
    </row>
    <row r="163" spans="1:6" s="7" customFormat="1" ht="27" customHeight="1">
      <c r="A163" s="11">
        <v>92695</v>
      </c>
      <c r="B163" s="12" t="s">
        <v>18</v>
      </c>
      <c r="C163" s="13">
        <f>C164</f>
        <v>1592966</v>
      </c>
      <c r="D163" s="13">
        <f>D164</f>
        <v>5497032</v>
      </c>
      <c r="E163" s="92">
        <f>E164</f>
        <v>241383</v>
      </c>
      <c r="F163" s="85">
        <f t="shared" si="10"/>
        <v>4.391151443178792</v>
      </c>
    </row>
    <row r="164" spans="1:6" ht="19.5" customHeight="1">
      <c r="A164" s="24"/>
      <c r="B164" s="21" t="s">
        <v>16</v>
      </c>
      <c r="C164" s="17">
        <v>1592966</v>
      </c>
      <c r="D164" s="17">
        <f>5436532+60500</f>
        <v>5497032</v>
      </c>
      <c r="E164" s="94">
        <f>241383</f>
        <v>241383</v>
      </c>
      <c r="F164" s="86">
        <f t="shared" si="10"/>
        <v>4.391151443178792</v>
      </c>
    </row>
    <row r="165" spans="1:6" s="45" customFormat="1" ht="27" customHeight="1">
      <c r="A165" s="122" t="s">
        <v>140</v>
      </c>
      <c r="B165" s="103"/>
      <c r="C165" s="47">
        <f>C4+C9+C12+C18+C22+C27+C41+C48+C60+C64+C68+C73+C94+C103+C122+C126+C133+C146+C156</f>
        <v>33975901</v>
      </c>
      <c r="D165" s="47">
        <f>D4+D9+D12+D18+D22+D27+D41+D48+D60+D64+D68+D73+D94+D103+D122+D126+D133+D146+D156</f>
        <v>36870926</v>
      </c>
      <c r="E165" s="47">
        <f>E4+E9+E12+E18+E22+E27+E41+E48+E60+E64+E73+E94+E103+E122+E126+E133+E146+E156</f>
        <v>7402565</v>
      </c>
      <c r="F165" s="74">
        <f>E165*100/D165</f>
        <v>20.07697067331588</v>
      </c>
    </row>
    <row r="166" spans="1:6" ht="16.5" customHeight="1">
      <c r="A166" s="31"/>
      <c r="B166" s="32"/>
      <c r="C166" s="32"/>
      <c r="D166" s="32"/>
      <c r="E166" s="32"/>
      <c r="F166" s="32"/>
    </row>
    <row r="167" spans="1:6" ht="22.5" customHeight="1">
      <c r="A167" s="31"/>
      <c r="B167" s="32"/>
      <c r="C167" s="32"/>
      <c r="D167" s="32"/>
      <c r="E167" s="32"/>
      <c r="F167" s="32"/>
    </row>
    <row r="168" spans="1:6" ht="14.25">
      <c r="A168" s="31"/>
      <c r="B168" s="32"/>
      <c r="C168" s="32"/>
      <c r="D168" s="32"/>
      <c r="E168" s="32"/>
      <c r="F168" s="32"/>
    </row>
    <row r="169" spans="1:6" ht="14.25">
      <c r="A169" s="31"/>
      <c r="B169" s="32"/>
      <c r="C169" s="32"/>
      <c r="D169" s="32"/>
      <c r="E169" s="32"/>
      <c r="F169" s="32"/>
    </row>
    <row r="170" spans="1:6" ht="14.25">
      <c r="A170" s="31"/>
      <c r="B170" s="32"/>
      <c r="C170" s="32"/>
      <c r="D170" s="32"/>
      <c r="E170" s="32"/>
      <c r="F170" s="32"/>
    </row>
    <row r="171" spans="1:6" ht="14.25">
      <c r="A171" s="31"/>
      <c r="B171" s="32"/>
      <c r="C171" s="32"/>
      <c r="D171" s="32"/>
      <c r="E171" s="32"/>
      <c r="F171" s="32"/>
    </row>
    <row r="172" spans="1:6" ht="14.25">
      <c r="A172" s="31"/>
      <c r="B172" s="32"/>
      <c r="C172" s="32"/>
      <c r="D172" s="32"/>
      <c r="E172" s="32"/>
      <c r="F172" s="32"/>
    </row>
    <row r="173" spans="1:6" ht="14.25">
      <c r="A173" s="31"/>
      <c r="B173" s="32"/>
      <c r="C173" s="32"/>
      <c r="D173" s="32"/>
      <c r="E173" s="32"/>
      <c r="F173" s="32"/>
    </row>
    <row r="174" spans="1:6" ht="14.25">
      <c r="A174" s="31"/>
      <c r="B174" s="32"/>
      <c r="C174" s="32"/>
      <c r="D174" s="32"/>
      <c r="E174" s="32"/>
      <c r="F174" s="32"/>
    </row>
    <row r="175" spans="1:6" ht="14.25">
      <c r="A175" s="31"/>
      <c r="B175" s="32"/>
      <c r="C175" s="32"/>
      <c r="D175" s="32"/>
      <c r="E175" s="32"/>
      <c r="F175" s="32"/>
    </row>
    <row r="176" spans="1:6" ht="14.25">
      <c r="A176" s="31"/>
      <c r="B176" s="32"/>
      <c r="C176" s="32"/>
      <c r="D176" s="32"/>
      <c r="E176" s="32"/>
      <c r="F176" s="32"/>
    </row>
    <row r="177" spans="1:6" ht="14.25">
      <c r="A177" s="31"/>
      <c r="B177" s="32"/>
      <c r="C177" s="32"/>
      <c r="D177" s="32"/>
      <c r="E177" s="32"/>
      <c r="F177" s="32"/>
    </row>
    <row r="178" spans="1:6" ht="14.25">
      <c r="A178" s="31"/>
      <c r="B178" s="32"/>
      <c r="C178" s="32"/>
      <c r="D178" s="32"/>
      <c r="E178" s="32"/>
      <c r="F178" s="32"/>
    </row>
    <row r="179" spans="1:6" ht="14.25">
      <c r="A179" s="31"/>
      <c r="B179" s="32"/>
      <c r="C179" s="32"/>
      <c r="D179" s="32"/>
      <c r="E179" s="32"/>
      <c r="F179" s="32"/>
    </row>
    <row r="180" spans="1:6" ht="14.25">
      <c r="A180" s="31"/>
      <c r="B180" s="32"/>
      <c r="C180" s="32"/>
      <c r="D180" s="32"/>
      <c r="E180" s="32"/>
      <c r="F180" s="32"/>
    </row>
    <row r="181" spans="1:6" ht="14.25">
      <c r="A181" s="31"/>
      <c r="B181" s="32"/>
      <c r="C181" s="32"/>
      <c r="D181" s="32"/>
      <c r="E181" s="32"/>
      <c r="F181" s="32"/>
    </row>
    <row r="182" spans="1:6" ht="14.25">
      <c r="A182" s="31"/>
      <c r="B182" s="32"/>
      <c r="C182" s="32"/>
      <c r="D182" s="32"/>
      <c r="E182" s="32"/>
      <c r="F182" s="32"/>
    </row>
    <row r="183" spans="1:6" ht="14.25">
      <c r="A183" s="31"/>
      <c r="B183" s="32"/>
      <c r="C183" s="32"/>
      <c r="D183" s="32"/>
      <c r="E183" s="32"/>
      <c r="F183" s="32"/>
    </row>
    <row r="184" spans="1:6" ht="14.25">
      <c r="A184" s="97"/>
      <c r="B184" s="32"/>
      <c r="C184" s="32"/>
      <c r="D184" s="32"/>
      <c r="E184" s="32"/>
      <c r="F184" s="32"/>
    </row>
    <row r="185" spans="1:6" ht="14.25">
      <c r="A185" s="97"/>
      <c r="B185" s="32"/>
      <c r="C185" s="32"/>
      <c r="D185" s="32"/>
      <c r="E185" s="32"/>
      <c r="F185" s="32"/>
    </row>
    <row r="186" spans="1:6" ht="14.25">
      <c r="A186" s="97"/>
      <c r="B186" s="32"/>
      <c r="C186" s="32"/>
      <c r="D186" s="32"/>
      <c r="E186" s="32"/>
      <c r="F186" s="32"/>
    </row>
    <row r="187" spans="1:6" ht="14.25">
      <c r="A187" s="97"/>
      <c r="B187" s="32"/>
      <c r="C187" s="32"/>
      <c r="D187" s="32"/>
      <c r="E187" s="32"/>
      <c r="F187" s="32"/>
    </row>
    <row r="188" spans="1:6" ht="14.25">
      <c r="A188" s="97"/>
      <c r="B188" s="32"/>
      <c r="C188" s="32"/>
      <c r="D188" s="32"/>
      <c r="E188" s="32"/>
      <c r="F188" s="32"/>
    </row>
    <row r="189" spans="1:6" ht="14.25">
      <c r="A189" s="97"/>
      <c r="B189" s="32"/>
      <c r="C189" s="32"/>
      <c r="D189" s="32"/>
      <c r="E189" s="32"/>
      <c r="F189" s="32"/>
    </row>
    <row r="190" spans="1:6" ht="14.25">
      <c r="A190" s="97"/>
      <c r="B190" s="32"/>
      <c r="C190" s="32"/>
      <c r="D190" s="32"/>
      <c r="E190" s="32"/>
      <c r="F190" s="32"/>
    </row>
    <row r="191" spans="1:6" ht="14.25">
      <c r="A191" s="97"/>
      <c r="B191" s="32"/>
      <c r="C191" s="32"/>
      <c r="D191" s="32"/>
      <c r="E191" s="32"/>
      <c r="F191" s="32"/>
    </row>
    <row r="192" spans="1:6" ht="14.25">
      <c r="A192" s="97"/>
      <c r="B192" s="32"/>
      <c r="C192" s="32"/>
      <c r="D192" s="32"/>
      <c r="E192" s="32"/>
      <c r="F192" s="32"/>
    </row>
    <row r="193" spans="1:6" ht="14.25">
      <c r="A193" s="97"/>
      <c r="B193" s="32"/>
      <c r="C193" s="32"/>
      <c r="D193" s="32"/>
      <c r="E193" s="32"/>
      <c r="F193" s="32"/>
    </row>
    <row r="194" spans="1:6" ht="14.25">
      <c r="A194" s="97"/>
      <c r="B194" s="32"/>
      <c r="C194" s="32"/>
      <c r="D194" s="32"/>
      <c r="E194" s="32"/>
      <c r="F194" s="32"/>
    </row>
    <row r="195" spans="1:6" ht="14.25">
      <c r="A195" s="97"/>
      <c r="B195" s="32"/>
      <c r="C195" s="32"/>
      <c r="D195" s="32"/>
      <c r="E195" s="32"/>
      <c r="F195" s="32"/>
    </row>
    <row r="196" spans="1:6" ht="14.25">
      <c r="A196" s="97"/>
      <c r="B196" s="32"/>
      <c r="C196" s="32"/>
      <c r="D196" s="32"/>
      <c r="E196" s="32"/>
      <c r="F196" s="32"/>
    </row>
    <row r="197" spans="1:6" ht="14.25">
      <c r="A197" s="97"/>
      <c r="B197" s="32"/>
      <c r="C197" s="32"/>
      <c r="D197" s="32"/>
      <c r="E197" s="32"/>
      <c r="F197" s="32"/>
    </row>
    <row r="198" spans="1:6" ht="14.25">
      <c r="A198" s="97"/>
      <c r="B198" s="32"/>
      <c r="C198" s="32"/>
      <c r="D198" s="32"/>
      <c r="E198" s="32"/>
      <c r="F198" s="32"/>
    </row>
    <row r="199" spans="1:6" ht="14.25">
      <c r="A199" s="97"/>
      <c r="B199" s="32"/>
      <c r="C199" s="32"/>
      <c r="D199" s="32"/>
      <c r="E199" s="32"/>
      <c r="F199" s="32"/>
    </row>
    <row r="200" spans="1:6" ht="14.25">
      <c r="A200" s="97"/>
      <c r="B200" s="32"/>
      <c r="C200" s="32"/>
      <c r="D200" s="32"/>
      <c r="E200" s="32"/>
      <c r="F200" s="32"/>
    </row>
    <row r="201" spans="1:6" ht="14.25">
      <c r="A201" s="97"/>
      <c r="B201" s="32"/>
      <c r="C201" s="32"/>
      <c r="D201" s="32"/>
      <c r="E201" s="32"/>
      <c r="F201" s="32"/>
    </row>
    <row r="202" spans="1:6" ht="14.25">
      <c r="A202" s="97"/>
      <c r="B202" s="32"/>
      <c r="C202" s="32"/>
      <c r="D202" s="32"/>
      <c r="E202" s="32"/>
      <c r="F202" s="32"/>
    </row>
    <row r="203" spans="1:6" ht="14.25">
      <c r="A203" s="97"/>
      <c r="B203" s="32"/>
      <c r="C203" s="32"/>
      <c r="D203" s="32"/>
      <c r="E203" s="32"/>
      <c r="F203" s="32"/>
    </row>
    <row r="204" spans="1:6" ht="14.25">
      <c r="A204" s="97"/>
      <c r="B204" s="32"/>
      <c r="C204" s="32"/>
      <c r="D204" s="32"/>
      <c r="E204" s="32"/>
      <c r="F204" s="32"/>
    </row>
    <row r="205" spans="1:6" ht="14.25">
      <c r="A205" s="97"/>
      <c r="B205" s="32"/>
      <c r="C205" s="32"/>
      <c r="D205" s="32"/>
      <c r="E205" s="32"/>
      <c r="F205" s="32"/>
    </row>
    <row r="206" spans="1:6" ht="14.25">
      <c r="A206" s="97"/>
      <c r="B206" s="32"/>
      <c r="C206" s="32"/>
      <c r="D206" s="32"/>
      <c r="E206" s="32"/>
      <c r="F206" s="32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</sheetData>
  <mergeCells count="7">
    <mergeCell ref="D2:D3"/>
    <mergeCell ref="E2:F2"/>
    <mergeCell ref="A1:F1"/>
    <mergeCell ref="A165:B165"/>
    <mergeCell ref="A2:A3"/>
    <mergeCell ref="B2:B3"/>
    <mergeCell ref="C2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00390625" defaultRowHeight="12.75"/>
  <cols>
    <col min="1" max="1" width="30.125" style="0" customWidth="1"/>
    <col min="2" max="2" width="14.125" style="0" customWidth="1"/>
    <col min="3" max="3" width="17.75390625" style="0" customWidth="1"/>
    <col min="4" max="4" width="15.375" style="0" customWidth="1"/>
  </cols>
  <sheetData>
    <row r="1" spans="1:5" ht="38.25" customHeight="1">
      <c r="A1" s="124" t="s">
        <v>163</v>
      </c>
      <c r="B1" s="124"/>
      <c r="C1" s="124"/>
      <c r="D1" s="124"/>
      <c r="E1" s="124"/>
    </row>
    <row r="2" spans="1:5" s="49" customFormat="1" ht="33" customHeight="1">
      <c r="A2" s="109" t="s">
        <v>0</v>
      </c>
      <c r="B2" s="109" t="s">
        <v>126</v>
      </c>
      <c r="C2" s="109" t="s">
        <v>127</v>
      </c>
      <c r="D2" s="109" t="s">
        <v>128</v>
      </c>
      <c r="E2" s="109"/>
    </row>
    <row r="3" spans="1:5" s="49" customFormat="1" ht="24" customHeight="1">
      <c r="A3" s="109"/>
      <c r="B3" s="109"/>
      <c r="C3" s="109"/>
      <c r="D3" s="65" t="s">
        <v>152</v>
      </c>
      <c r="E3" s="65" t="s">
        <v>153</v>
      </c>
    </row>
    <row r="4" spans="1:5" ht="28.5" customHeight="1">
      <c r="A4" s="72" t="s">
        <v>154</v>
      </c>
      <c r="B4" s="73">
        <v>33016462</v>
      </c>
      <c r="C4" s="73">
        <v>33248213</v>
      </c>
      <c r="D4" s="73">
        <v>9732736</v>
      </c>
      <c r="E4" s="74">
        <f>D4*100/C4</f>
        <v>29.272959722677427</v>
      </c>
    </row>
    <row r="5" spans="1:5" ht="28.5" customHeight="1">
      <c r="A5" s="72" t="s">
        <v>155</v>
      </c>
      <c r="B5" s="73">
        <v>33975901</v>
      </c>
      <c r="C5" s="73">
        <v>36870926</v>
      </c>
      <c r="D5" s="73">
        <v>7402565</v>
      </c>
      <c r="E5" s="74">
        <f>D5*100/C5</f>
        <v>20.07697067331588</v>
      </c>
    </row>
    <row r="6" spans="1:5" ht="28.5" customHeight="1">
      <c r="A6" s="72" t="s">
        <v>156</v>
      </c>
      <c r="B6" s="73">
        <v>27848397</v>
      </c>
      <c r="C6" s="73">
        <v>30364894</v>
      </c>
      <c r="D6" s="73">
        <v>7052055</v>
      </c>
      <c r="E6" s="74">
        <f>D6*100/C6</f>
        <v>23.22436890443286</v>
      </c>
    </row>
    <row r="7" spans="1:5" ht="28.5" customHeight="1">
      <c r="A7" s="72" t="s">
        <v>157</v>
      </c>
      <c r="B7" s="73">
        <v>6127504</v>
      </c>
      <c r="C7" s="73">
        <v>6506032</v>
      </c>
      <c r="D7" s="73">
        <v>350510</v>
      </c>
      <c r="E7" s="74">
        <f>D7*100/C7</f>
        <v>5.3874619737498985</v>
      </c>
    </row>
    <row r="8" spans="1:5" ht="28.5" customHeight="1">
      <c r="A8" s="72" t="s">
        <v>158</v>
      </c>
      <c r="B8" s="73">
        <v>-959439</v>
      </c>
      <c r="C8" s="73">
        <v>-3622713</v>
      </c>
      <c r="D8" s="73">
        <v>2330171</v>
      </c>
      <c r="E8" s="80" t="s">
        <v>164</v>
      </c>
    </row>
    <row r="9" spans="1:5" ht="28.5" customHeight="1">
      <c r="A9" s="72" t="s">
        <v>159</v>
      </c>
      <c r="B9" s="73">
        <v>5106363</v>
      </c>
      <c r="C9" s="73">
        <v>6200000</v>
      </c>
      <c r="D9" s="79" t="s">
        <v>164</v>
      </c>
      <c r="E9" s="80" t="s">
        <v>164</v>
      </c>
    </row>
    <row r="10" spans="1:5" ht="28.5" customHeight="1">
      <c r="A10" s="72" t="s">
        <v>160</v>
      </c>
      <c r="B10" s="78" t="s">
        <v>164</v>
      </c>
      <c r="C10" s="78" t="s">
        <v>164</v>
      </c>
      <c r="D10" s="78" t="s">
        <v>164</v>
      </c>
      <c r="E10" s="78" t="s">
        <v>164</v>
      </c>
    </row>
    <row r="11" spans="1:5" ht="28.5" customHeight="1">
      <c r="A11" s="72" t="s">
        <v>161</v>
      </c>
      <c r="B11" s="73">
        <v>3208956</v>
      </c>
      <c r="C11" s="73">
        <v>2602160</v>
      </c>
      <c r="D11" s="73">
        <v>1300159</v>
      </c>
      <c r="E11" s="74">
        <f>D11*100/C11</f>
        <v>49.96460632705137</v>
      </c>
    </row>
    <row r="12" spans="1:5" ht="28.5" customHeight="1">
      <c r="A12" s="72" t="s">
        <v>162</v>
      </c>
      <c r="B12" s="73">
        <v>3208956</v>
      </c>
      <c r="C12" s="73">
        <v>2602160</v>
      </c>
      <c r="D12" s="73">
        <v>1300159</v>
      </c>
      <c r="E12" s="74">
        <f>D12*100/C12</f>
        <v>49.96460632705137</v>
      </c>
    </row>
    <row r="13" spans="1:5" ht="14.25">
      <c r="A13" s="68"/>
      <c r="B13" s="75"/>
      <c r="C13" s="75"/>
      <c r="D13" s="75"/>
      <c r="E13" s="76"/>
    </row>
    <row r="14" spans="1:5" ht="12.75">
      <c r="A14" s="71"/>
      <c r="B14" s="69"/>
      <c r="C14" s="69"/>
      <c r="D14" s="69"/>
      <c r="E14" s="70"/>
    </row>
    <row r="15" spans="1:5" ht="12.75">
      <c r="A15" s="71"/>
      <c r="B15" s="69"/>
      <c r="C15" s="69"/>
      <c r="D15" s="69"/>
      <c r="E15" s="70"/>
    </row>
    <row r="16" spans="1:5" ht="12.75">
      <c r="A16" s="71"/>
      <c r="B16" s="69"/>
      <c r="C16" s="69"/>
      <c r="D16" s="69"/>
      <c r="E16" s="70"/>
    </row>
    <row r="17" spans="1:5" ht="12.75">
      <c r="A17" s="71"/>
      <c r="B17" s="69"/>
      <c r="C17" s="69"/>
      <c r="D17" s="69"/>
      <c r="E17" s="70"/>
    </row>
    <row r="18" spans="1:5" ht="12.75">
      <c r="A18" s="71"/>
      <c r="B18" s="69"/>
      <c r="C18" s="69"/>
      <c r="D18" s="69"/>
      <c r="E18" s="70"/>
    </row>
    <row r="19" spans="1:5" ht="12.75">
      <c r="A19" s="71"/>
      <c r="B19" s="69"/>
      <c r="C19" s="69"/>
      <c r="D19" s="69"/>
      <c r="E19" s="70"/>
    </row>
    <row r="20" spans="1:5" ht="12.75">
      <c r="A20" s="71"/>
      <c r="B20" s="69"/>
      <c r="C20" s="69"/>
      <c r="D20" s="69"/>
      <c r="E20" s="70"/>
    </row>
    <row r="21" spans="1:5" ht="12.75">
      <c r="A21" s="71"/>
      <c r="B21" s="69"/>
      <c r="C21" s="69"/>
      <c r="D21" s="69"/>
      <c r="E21" s="70"/>
    </row>
    <row r="22" spans="1:5" ht="12.75">
      <c r="A22" s="71"/>
      <c r="B22" s="69"/>
      <c r="C22" s="69"/>
      <c r="D22" s="69"/>
      <c r="E22" s="70"/>
    </row>
    <row r="23" spans="1:5" ht="12.75">
      <c r="A23" s="71"/>
      <c r="B23" s="69"/>
      <c r="C23" s="69"/>
      <c r="D23" s="69"/>
      <c r="E23" s="70"/>
    </row>
    <row r="24" spans="1:5" ht="12.75">
      <c r="A24" s="71"/>
      <c r="B24" s="69"/>
      <c r="C24" s="69"/>
      <c r="D24" s="69"/>
      <c r="E24" s="70"/>
    </row>
    <row r="25" spans="1:5" ht="12.75">
      <c r="A25" s="71"/>
      <c r="B25" s="69"/>
      <c r="C25" s="69"/>
      <c r="D25" s="69"/>
      <c r="E25" s="70"/>
    </row>
    <row r="26" spans="1:5" ht="12.75">
      <c r="A26" s="71"/>
      <c r="B26" s="69"/>
      <c r="C26" s="69"/>
      <c r="D26" s="69"/>
      <c r="E26" s="70"/>
    </row>
    <row r="27" spans="1:5" ht="12.75">
      <c r="A27" s="71"/>
      <c r="B27" s="69"/>
      <c r="C27" s="69"/>
      <c r="D27" s="69"/>
      <c r="E27" s="70"/>
    </row>
    <row r="28" spans="1:5" ht="12.75">
      <c r="A28" s="71"/>
      <c r="B28" s="69"/>
      <c r="C28" s="69"/>
      <c r="D28" s="69"/>
      <c r="E28" s="70"/>
    </row>
    <row r="29" spans="1:5" ht="12.75">
      <c r="A29" s="71"/>
      <c r="E29" s="70"/>
    </row>
    <row r="30" ht="12.75">
      <c r="A30" s="71"/>
    </row>
  </sheetData>
  <mergeCells count="5">
    <mergeCell ref="A1:E1"/>
    <mergeCell ref="D2:E2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Wioletta Kwiatek</cp:lastModifiedBy>
  <cp:lastPrinted>2006-04-28T08:56:00Z</cp:lastPrinted>
  <dcterms:created xsi:type="dcterms:W3CDTF">1997-02-26T13:46:56Z</dcterms:created>
  <dcterms:modified xsi:type="dcterms:W3CDTF">2006-04-27T20:49:59Z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