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65386" windowWidth="9435" windowHeight="4545" tabRatio="849" activeTab="0"/>
  </bookViews>
  <sheets>
    <sheet name="Tab 1" sheetId="1" r:id="rId1"/>
    <sheet name="Tab 2" sheetId="2" r:id="rId2"/>
    <sheet name="Tab 3" sheetId="3" r:id="rId3"/>
    <sheet name="Tab 4" sheetId="4" r:id="rId4"/>
    <sheet name="Tab 5" sheetId="5" r:id="rId5"/>
    <sheet name="Tab 6" sheetId="6" r:id="rId6"/>
    <sheet name="Tab 7" sheetId="7" r:id="rId7"/>
    <sheet name="Tab 8" sheetId="8" r:id="rId8"/>
    <sheet name="Tab 9" sheetId="9" r:id="rId9"/>
    <sheet name="Zał 10" sheetId="10" r:id="rId10"/>
    <sheet name="Zał 11" sheetId="11" r:id="rId11"/>
  </sheets>
  <definedNames/>
  <calcPr fullCalcOnLoad="1"/>
</workbook>
</file>

<file path=xl/sharedStrings.xml><?xml version="1.0" encoding="utf-8"?>
<sst xmlns="http://schemas.openxmlformats.org/spreadsheetml/2006/main" count="733" uniqueCount="415">
  <si>
    <t>Wyszczególnienie</t>
  </si>
  <si>
    <t>GOSPODARKA MIESZKANIOWA</t>
  </si>
  <si>
    <t>ADMINISTRACJA PUBLICZNA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</si>
  <si>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</si>
  <si>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</si>
  <si>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</si>
  <si>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</si>
  <si>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OŚWIATA I WYCHOWANIE</t>
  </si>
  <si>
    <t>POMOC SPOŁECZNA</t>
  </si>
  <si>
    <t>GOSPODARKA KOMUNALNA I OCHRONA ŚRODOWISKA</t>
  </si>
  <si>
    <t>KULTURA FIZYCZNA I SPORT</t>
  </si>
  <si>
    <t>Kwota zł</t>
  </si>
  <si>
    <t>Dział</t>
  </si>
  <si>
    <t>WYDATKI</t>
  </si>
  <si>
    <t>a) wydatki bieżące, w tym:</t>
  </si>
  <si>
    <t>- wynagrodzenia i pochodne od wynagrodzeń</t>
  </si>
  <si>
    <t>a) wydatki bieżące</t>
  </si>
  <si>
    <t>Ośrodki pomocy społecznej</t>
  </si>
  <si>
    <t>a) wydatki majątkowe</t>
  </si>
  <si>
    <t>Izby rolnicze</t>
  </si>
  <si>
    <t>Pozostała działalność</t>
  </si>
  <si>
    <t>TRANSPORT I ŁĄCZNOŚĆ</t>
  </si>
  <si>
    <t>Drogi publiczne gminne</t>
  </si>
  <si>
    <t>Gospodarka gruntami i nieruchomościami</t>
  </si>
  <si>
    <t>DZIAŁALNOŚĆ USŁUGOWA</t>
  </si>
  <si>
    <t>Plany zagospodarowania przestrzennego</t>
  </si>
  <si>
    <t>Cmentarze</t>
  </si>
  <si>
    <t>Ochotnicze straże pożarne</t>
  </si>
  <si>
    <t>Pobór podatków, opłat i niepodatkowych należności budżetowych</t>
  </si>
  <si>
    <t>OBSŁUGA DŁUGU PUBLICZNEGO</t>
  </si>
  <si>
    <t>RÓŻNE ROZLICZENIA</t>
  </si>
  <si>
    <t>Rezerwy ogólne i celowe</t>
  </si>
  <si>
    <t xml:space="preserve">Rezerwy </t>
  </si>
  <si>
    <t>Szkoły podstawowe</t>
  </si>
  <si>
    <t>Przedszkola</t>
  </si>
  <si>
    <t>Gimnazja</t>
  </si>
  <si>
    <t>Dowożenie uczniów do szkół</t>
  </si>
  <si>
    <t>OCHRONA ZDROWIA</t>
  </si>
  <si>
    <t>Zwalczanie narkomanii</t>
  </si>
  <si>
    <t>Przeciwdziałanie alkoholizmowi</t>
  </si>
  <si>
    <t>Dodatki mieszkaniowe</t>
  </si>
  <si>
    <t>EDUKACYJNA OPIEKA WYCHOWAWCZA</t>
  </si>
  <si>
    <t>Świetlice szkolne</t>
  </si>
  <si>
    <t>Gospodarka ściekowa i ochrona wód</t>
  </si>
  <si>
    <t>Oczyszczanie miast i wsi</t>
  </si>
  <si>
    <t>Utrzymanie zieleni w miastach i gminach</t>
  </si>
  <si>
    <t>Oświetlenie ulic, placów, dróg</t>
  </si>
  <si>
    <t>KULTURA I OCHRONA DZIEDZICTWA NARODOWEGO</t>
  </si>
  <si>
    <t>Domy i ośrodki kultury, świetlice i kluby</t>
  </si>
  <si>
    <t>Biblioteki</t>
  </si>
  <si>
    <t>Instytucje kultury fizycznej</t>
  </si>
  <si>
    <t>Zadania w zakresie kultury fizycznej i sportu</t>
  </si>
  <si>
    <t>Klasyfikacja</t>
  </si>
  <si>
    <t>010</t>
  </si>
  <si>
    <t>01030</t>
  </si>
  <si>
    <t>01095</t>
  </si>
  <si>
    <t>b) wydatki majątkowe</t>
  </si>
  <si>
    <t>- dotacje</t>
  </si>
  <si>
    <t>Obsługa papierów wartościowych, kredytów i pożyczek jednostek samorządu terytorialnego</t>
  </si>
  <si>
    <t>- obsługa długu jednostek samorządu terytorialnego</t>
  </si>
  <si>
    <t>Rozdział</t>
  </si>
  <si>
    <t>Przychody</t>
  </si>
  <si>
    <t>Miejski Zakład Wodociągów i Kanalizacji</t>
  </si>
  <si>
    <t>Oczyszczalnia Ścieków</t>
  </si>
  <si>
    <t>Miejski Zakład Usług Komunalnych</t>
  </si>
  <si>
    <t>Miejski Zakład Budynków Mieszkalnych</t>
  </si>
  <si>
    <t>80104</t>
  </si>
  <si>
    <t>Ogółem</t>
  </si>
  <si>
    <t>Kanalizacja sanitarna Kąty</t>
  </si>
  <si>
    <t>Kanalizacja sanitarna Podzwierzyniec</t>
  </si>
  <si>
    <t>75647</t>
  </si>
  <si>
    <t>dochody z najmu i dzierżawy składników majątkowych Skarbu Państwa, jednostek samorządu terytorialnego lub innych jednostek zaliczanych do sektora finansów publicznych oraz innych umów o podobnym charakterze</t>
  </si>
  <si>
    <t>podatek od działalności gospodarczej osób fizycznych, opłacany w formie karty podatkowej</t>
  </si>
  <si>
    <t>podatek rolny</t>
  </si>
  <si>
    <t>podatek od środków transportowych</t>
  </si>
  <si>
    <t>podatek od spadków i darowizn</t>
  </si>
  <si>
    <t>podatek od posiadania psów</t>
  </si>
  <si>
    <t>wpływy z opłaty targowej</t>
  </si>
  <si>
    <t xml:space="preserve">wpływy z opłaty administracyjnej za czynności urzędowe </t>
  </si>
  <si>
    <t>podatek od czynności cywilnoprawnych</t>
  </si>
  <si>
    <t>wpływy z opłaty skarbowej</t>
  </si>
  <si>
    <t>udziały we wpływach z podatku dochodowego od osób fizycznych</t>
  </si>
  <si>
    <t>udziały we wpływach z podatku dochodowego od osób prawnych</t>
  </si>
  <si>
    <t>wpływy z odpłatności za żywienie uczniów w szkołach</t>
  </si>
  <si>
    <t>wpływy z odpłatności za usługi opiekuńcze</t>
  </si>
  <si>
    <t>wpływy z odpłatności za żywienie uczniów w przedszkolach</t>
  </si>
  <si>
    <t>Kanalizacja sanitarna dzielnicy Płd-Wsch, ul. Kościuszki</t>
  </si>
  <si>
    <t>Urzędy wojewódzkie</t>
  </si>
  <si>
    <t>400</t>
  </si>
  <si>
    <t>40002</t>
  </si>
  <si>
    <t>Dostarczanie wody</t>
  </si>
  <si>
    <t>80145</t>
  </si>
  <si>
    <t>Komisje egzaminacyjne</t>
  </si>
  <si>
    <t>85212</t>
  </si>
  <si>
    <t>854</t>
  </si>
  <si>
    <t>Pozostałe zadania w zakresie kultury</t>
  </si>
  <si>
    <t>853</t>
  </si>
  <si>
    <t>POZOSTAŁE ZADANIA W ZAKRESIE POLITYKI SPOŁECZNEJ</t>
  </si>
  <si>
    <t>85395</t>
  </si>
  <si>
    <t>wpływy z opłat za zajęcie pasa drogowego</t>
  </si>
  <si>
    <t>Plan po zmianach</t>
  </si>
  <si>
    <t>Wykonanie</t>
  </si>
  <si>
    <t>kwota zł</t>
  </si>
  <si>
    <t>%</t>
  </si>
  <si>
    <t>Plan</t>
  </si>
  <si>
    <t xml:space="preserve">Klasyfikacja </t>
  </si>
  <si>
    <t xml:space="preserve">Nazwa zadania </t>
  </si>
  <si>
    <t xml:space="preserve">Plan po zmianach </t>
  </si>
  <si>
    <t xml:space="preserve">Wykonanie </t>
  </si>
  <si>
    <t xml:space="preserve">5% dochodów uzyskiwanych na rzecz budżetu państwa w związku z realizacją zadań z zakresu administracji rządowej </t>
  </si>
  <si>
    <t>70005</t>
  </si>
  <si>
    <t>75011</t>
  </si>
  <si>
    <t>75023</t>
  </si>
  <si>
    <t>75101</t>
  </si>
  <si>
    <t>75601</t>
  </si>
  <si>
    <t>Wpływy z podatku dochodowego od osób fizycznych</t>
  </si>
  <si>
    <t>75615</t>
  </si>
  <si>
    <t>75616</t>
  </si>
  <si>
    <t>podatek od nieruchomości</t>
  </si>
  <si>
    <t xml:space="preserve">podatek od nieruchomości </t>
  </si>
  <si>
    <t xml:space="preserve">podatek od środków transportowych </t>
  </si>
  <si>
    <t>75618</t>
  </si>
  <si>
    <t>75619</t>
  </si>
  <si>
    <t>Wpływy z różnych rozliczeń</t>
  </si>
  <si>
    <t>75621</t>
  </si>
  <si>
    <t>75801</t>
  </si>
  <si>
    <t>75814</t>
  </si>
  <si>
    <t>Różne rozliczenia finansowe</t>
  </si>
  <si>
    <t xml:space="preserve">Pozostała działalność </t>
  </si>
  <si>
    <t>85401</t>
  </si>
  <si>
    <t>85415</t>
  </si>
  <si>
    <t>Pomoc materialna dla uczniów</t>
  </si>
  <si>
    <t>90001</t>
  </si>
  <si>
    <t>90002</t>
  </si>
  <si>
    <t>Gospodarka odpadami</t>
  </si>
  <si>
    <t>90017</t>
  </si>
  <si>
    <t>92604</t>
  </si>
  <si>
    <t>80101</t>
  </si>
  <si>
    <t>80110</t>
  </si>
  <si>
    <t>80195</t>
  </si>
  <si>
    <t>85213</t>
  </si>
  <si>
    <t>Składki na ubezpieczenie zdrowotne opłacane za osoby pobierające niektóre świadczenia z pomocy społecznej oraz niektóre świadczenia rodzinne</t>
  </si>
  <si>
    <t>85214</t>
  </si>
  <si>
    <t>85219</t>
  </si>
  <si>
    <t>85228</t>
  </si>
  <si>
    <t>85295</t>
  </si>
  <si>
    <t xml:space="preserve">Urzędy naczelnych organów władzy państwowej, kontroli i ochrony prawa </t>
  </si>
  <si>
    <t>Wpływy z innych opłat stanowiących dochody jednostek samorządu terytorialnego na podstawie ustaw</t>
  </si>
  <si>
    <t>Udziały gmin w podatkach stanowiących dochód budżetu państwa</t>
  </si>
  <si>
    <t>Zasiłki i pomoc w naturze oraz składki na ubezpieczenia emerytalne i rentowe</t>
  </si>
  <si>
    <t>Usługi opiekuńcze i specjalistyczne usługi opiekuńcze</t>
  </si>
  <si>
    <t>wpływy z opłat za zarząd, użytkowanie i użytkowanie wieczyste nieruchomości</t>
  </si>
  <si>
    <t>85195</t>
  </si>
  <si>
    <t xml:space="preserve">Pomoc materialna dla uczniów </t>
  </si>
  <si>
    <t>- stypendia dla uczniów</t>
  </si>
  <si>
    <t>921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</si>
  <si>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</si>
  <si>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 podatku od spadków i darowizn, podatku od czynności cywilnoprawnych oraz podatków i opłat lokalnych od osób fizycznych </t>
  </si>
  <si>
    <t>wpływy z opłaty administracyjnej za czynności urzędowe</t>
  </si>
  <si>
    <t>Część oświatowa subwencji ogólnej dla jednostek samorządu terytorialnego</t>
  </si>
  <si>
    <t>Rozchody</t>
  </si>
  <si>
    <t>Wojewódzki Fundusz Ochrony Środowiska i Gospodarki Wodnej S.A. Umowa Nr 101/03/R/P</t>
  </si>
  <si>
    <t>Wojewódzki Fundusz Ochrony Środowiska i Gospodarki Wodnej S.A. Umowa Nr 100/03/R/P</t>
  </si>
  <si>
    <t>Wojewódzki Fundusz Ochrony Środowiska i Gospodarki Wodnej S.A. Umowa Nr 112/03/R/P</t>
  </si>
  <si>
    <t>Wojewódzki Fundusz Ochrony Środowiska i Gospodarki Wodnej S.A. Umowa Nr 75/2004/OW/R/P</t>
  </si>
  <si>
    <t>Bank Gospodarki Żywnościowej O/Regionalny Rzeszów Umowa Nr 54/KR/654/02/I/K/KK</t>
  </si>
  <si>
    <t xml:space="preserve">INVEST - BANK S.A. Rzeszów Umowa Nr 22/2003 </t>
  </si>
  <si>
    <t>Koszty i inne obciążenia</t>
  </si>
  <si>
    <t>Stan środków obrotowych na początek roku</t>
  </si>
  <si>
    <t>Stan środków obrotowych na koniec roku</t>
  </si>
  <si>
    <t>DOCHODY OD OSÓB PRAWNYCH, OD OSÓB FIZYCZNYCH I OD INNYCH JEDNOSTEK NIEPOSIADAJĄCYCH OSOBOWOŚCI PRAWNEJ ORAZ  WYDATKI ZWIĄZANE Z ICH POBOREM</t>
  </si>
  <si>
    <t>90003</t>
  </si>
  <si>
    <t>WYTWARZANIE I ZAOPATRYWANIE W ENERGIĘ ELEKTRYCZNĄ, GAZ I WODĘ</t>
  </si>
  <si>
    <t>90095</t>
  </si>
  <si>
    <t xml:space="preserve">dotacje otrzymane z funduszy celowych na realizację zadań bieżących jednostek sektora finansów publicznych </t>
  </si>
  <si>
    <t>Nazwa zadania</t>
  </si>
  <si>
    <t xml:space="preserve">Nazwa podmiotu </t>
  </si>
  <si>
    <t xml:space="preserve">                 OGÓŁEM</t>
  </si>
  <si>
    <t>subwencje ogólne z budżetu państwa (oświatowa)</t>
  </si>
  <si>
    <t>odsetki od środków na rachunku bankowym budżetu</t>
  </si>
  <si>
    <t xml:space="preserve">odsetki od środków na rachunku bankowym </t>
  </si>
  <si>
    <t>nawiązki, inne wpływy</t>
  </si>
  <si>
    <t>rozliczenia z lat ubiegłych</t>
  </si>
  <si>
    <t>wpływy z usług</t>
  </si>
  <si>
    <t xml:space="preserve">odsetki od nieterminowych wpłat </t>
  </si>
  <si>
    <t>wpływy do budżetu nadwyżki środków obrotowych przekazanych przez zakłady budżetowe</t>
  </si>
  <si>
    <t>najem lokali w obiektach Miejskiego Ośrodka Sportu i Rekreacji</t>
  </si>
  <si>
    <t>wpływy z odpłatności za bilety wstępu na imprezy organizowane przez Miejski Ośrodek Sportu i Rekreacji</t>
  </si>
  <si>
    <t>wpływy z rozliczeń za koszty administrowania lokalami użytkowymi</t>
  </si>
  <si>
    <t>odsetki od nieterminowych wpłat z tytułu opłat za korzystanie z majątku miasta</t>
  </si>
  <si>
    <t xml:space="preserve">opłata za wpis i zmiany w ewidencji działalności gospodarczej, prowizje ze sprzedaży znaków opłaty skarbowej, zwrot kosztów postępowania administracyjnego, koszty upomnień  </t>
  </si>
  <si>
    <t>odsetki od nieterminowych wpłat z tytułu podatków i opłat</t>
  </si>
  <si>
    <t>dochody jednostek samorządu terytorialnego związane z realizacją zadań z zakresu administracji rządowej oraz innych zadań zleconych ustawami</t>
  </si>
  <si>
    <t>zwrot nienależnie podjętych świadczeń</t>
  </si>
  <si>
    <t>90005</t>
  </si>
  <si>
    <t>Ochrona powietrza atmosferycznego i klimatu</t>
  </si>
  <si>
    <t>92695</t>
  </si>
  <si>
    <t xml:space="preserve">Pozostała działalność  </t>
  </si>
  <si>
    <t xml:space="preserve">dotacje otrzymane z funduszy celowych na finansowanie lub dofinansowanie kosztów realizacji inwestycji i zakupów inwetycyjnych jednostek sektora finansów publicznych </t>
  </si>
  <si>
    <t>75075</t>
  </si>
  <si>
    <t>Promocja jednostek samorządu terytorialnego</t>
  </si>
  <si>
    <t>75405</t>
  </si>
  <si>
    <t>85111</t>
  </si>
  <si>
    <t>Szpitale ogólne</t>
  </si>
  <si>
    <t xml:space="preserve">wpłaty z tytułu odpłatnego nabycia prawa własności oraz prawa użytkowania wieczystego nieruchomości </t>
  </si>
  <si>
    <t>wpływy z opłaty stałej</t>
  </si>
  <si>
    <t>Świadczenia rodzinne, zaliczka alimentacyjna oraz składki na ubezpieczenia emerytalne i rentowe z ubezpieczenia społecznego</t>
  </si>
  <si>
    <t>Zakłady gospodarki komunalnej</t>
  </si>
  <si>
    <t xml:space="preserve">Świadczenia rodzinne,zaliczka alimentacyjna oraz składki na ubezpieczenia emerytalne i rentowe z ubezpieczenia społecznego </t>
  </si>
  <si>
    <t>-dotacja na dowożenie uczniów niepełnosprawnych do szkół</t>
  </si>
  <si>
    <t>a) wydatki majątkowe, w tym:</t>
  </si>
  <si>
    <t>- dotacja</t>
  </si>
  <si>
    <t>b) wydatki majątkowe, w tym:</t>
  </si>
  <si>
    <t>DOCHODY I WYDATKI ZWIĄZANE Z REALIZACJĄ ZADAŃ Z ZAKRESU ADMINISTRACJI RZĄDOWEJ</t>
  </si>
  <si>
    <t>-dotacja na prowadzenie przedszkola niepublicznego</t>
  </si>
  <si>
    <t>2</t>
  </si>
  <si>
    <t>1</t>
  </si>
  <si>
    <t xml:space="preserve">Świadczenia rodzinne, zaliczka alimentacyjna oraz składki na ubezpieczenia emerytalne i rentowe z ubezpieczenia społecznego </t>
  </si>
  <si>
    <t>Tabela nr 1</t>
  </si>
  <si>
    <t>Tabela nr 2</t>
  </si>
  <si>
    <t>Tabela nr 3</t>
  </si>
  <si>
    <t>Tabela nr 4</t>
  </si>
  <si>
    <t>Tabela nr 5</t>
  </si>
  <si>
    <t>Tabela nr 6</t>
  </si>
  <si>
    <t>Tabela nr 8</t>
  </si>
  <si>
    <t>-dotacja na realizację programów profilaktycznych na temat uzależnień, narkomanii</t>
  </si>
  <si>
    <t>-dotacja na organizację zajęć sportowych, imprez, turniejów i zawodów jako formy spędzania wolnego czasu</t>
  </si>
  <si>
    <t>-dotacja na udzielenie schronienia osobom potrzebującym</t>
  </si>
  <si>
    <t>-dotacja na dofinansowanie koncertów muzycznych i innych imprez kulturalnych</t>
  </si>
  <si>
    <t>-dotacja na organizację konkursów</t>
  </si>
  <si>
    <t>-dotacja na upowszechnianie współzawodnictwa sportowego wśród dzieci i młodzieży</t>
  </si>
  <si>
    <t xml:space="preserve">wpływy z tytułu przekształcenia prawa użytkowania wieczystego przysługującego osobom fizycznym w prawo własności </t>
  </si>
  <si>
    <t>wpływy z opłaty produktowej</t>
  </si>
  <si>
    <t>ROLNICTWO I ŁOWIECTWO</t>
  </si>
  <si>
    <t>Wybory do rad gmin, rad powiatów i sejmików województw, wybory wójtów, burmistrzów i prezydentów miast oraz referenda gminne, powiatowe i wojewódzkie</t>
  </si>
  <si>
    <t xml:space="preserve">Dotacje celowe otrzymane z budżetu państwa na realizację zadań bieżących z zakresu administracji rządowej oraz innych zadań zleconych gminie (związkom gmin) ustawami </t>
  </si>
  <si>
    <t>Dotacje celowe otrzymane z budżetu państwa na realizację zadań bieżących z zakresu administracji rządowej oraz innych zadań zleconych gminie (związkom gmin) ustawami</t>
  </si>
  <si>
    <t>Usuwanie skutków klęsk żywiołowych</t>
  </si>
  <si>
    <t>-dotacja na wspieranie działalności stowarzyszeń i organizacji społecznych propagujących zdrowy i trzeźwy trybu życia</t>
  </si>
  <si>
    <t>-dotacja na prowadzenie świetlic środowiskowych dla dzieci i młodzieży</t>
  </si>
  <si>
    <t>-dotacja na przygotowanie i dostarczanie posiłków dla potrzebujących</t>
  </si>
  <si>
    <t>-dotacja na prowadzenie placówek opiekuńczo-wychowawczych realizujących programy profilktyczne</t>
  </si>
  <si>
    <t xml:space="preserve">Stowarzyszenie Katolicki Ruch Antynarkotyczny "KARAN" w Radomiu o/Rzeszów  </t>
  </si>
  <si>
    <t>Klub Abstynenta "ESKULAP" w Łańcucie</t>
  </si>
  <si>
    <t>Składki na ubezpieczenia zdrowotne opłacane za osoby pobierające niektóre świadczenia z pomocy społecznej oraz mniektóre świadczenia rodzinne</t>
  </si>
  <si>
    <t>Polskie Stowarzyszenie Na Rzecz Osób z Upośledzeniem Umysłowym Koło w Rzeszowie</t>
  </si>
  <si>
    <t>Towarzystwo Pomocy im. św. Brata Alberta Koło Łańcuckie</t>
  </si>
  <si>
    <t xml:space="preserve">Polskie Towarzystwo Gimnastyczne "SOKÓŁ" w Łańcucie </t>
  </si>
  <si>
    <t xml:space="preserve">Uczniowski Klub Sportowy "MDK-GAMBIT" w Łańcucie </t>
  </si>
  <si>
    <t>Towarzystwo Przyjaciół Dzieci Oddział Miejski w Łańcucie</t>
  </si>
  <si>
    <t>-</t>
  </si>
  <si>
    <t>Łańcuckie Towarzystwo Muzyczne</t>
  </si>
  <si>
    <t xml:space="preserve">Przedszkole Niepubliczne Sióstr Służebniczek NMP </t>
  </si>
  <si>
    <t>-dotacja na realizację programów profilaktycznych na temat uzależnień, narkomanii, promocja zdrowia</t>
  </si>
  <si>
    <t>Polskie Towarzystwo Gimnastyczne "SOKÓŁ" w Łańcucie</t>
  </si>
  <si>
    <t>Urzędy gmin (miast i miast na prawach powiatu)</t>
  </si>
  <si>
    <t>Rady gmin (miast i miast na prawach powiatu)</t>
  </si>
  <si>
    <t>Komendy powiatowe Policji</t>
  </si>
  <si>
    <t>Dokształcanie i doskonalenie nauczycieli</t>
  </si>
  <si>
    <t>TRANSPORT ŁĄCZNOŚĆ</t>
  </si>
  <si>
    <t xml:space="preserve">Fundacja Pomocy Młodzieży im. Jana Pawła II "WZRASTANIE" w LipnIku Świetlica w Łańcucie </t>
  </si>
  <si>
    <t>Fundacja Pomocy Młodzieży im. Jana Pawła II "WZRASTANIE" w LipnIku Klub w Łańcucie</t>
  </si>
  <si>
    <t xml:space="preserve">Uczniowski Międzyszkolny Klub Sportowy w Łańcucie </t>
  </si>
  <si>
    <t xml:space="preserve">Łańcucki Klub Sportowy "STAL" </t>
  </si>
  <si>
    <t>75109</t>
  </si>
  <si>
    <t>85278</t>
  </si>
  <si>
    <t xml:space="preserve">Usuwanie skutków klęsk żywiołowych </t>
  </si>
  <si>
    <t xml:space="preserve">                      WYDATKI OGÓŁEM</t>
  </si>
  <si>
    <t xml:space="preserve">                     DOCHODY OGÓŁEM</t>
  </si>
  <si>
    <t xml:space="preserve">                               OGÓŁEM </t>
  </si>
  <si>
    <t>wykonanie</t>
  </si>
  <si>
    <t>Szkoła Podstawowa Nr 2</t>
  </si>
  <si>
    <t>Szkoła Podstawowa Nr 3</t>
  </si>
  <si>
    <t>Szkoła Podstawowa Nr 4</t>
  </si>
  <si>
    <t>Publiczne Gimnazjum Nr 1</t>
  </si>
  <si>
    <t>Publiczne Gimnazjum Nr 2</t>
  </si>
  <si>
    <t>Przedszkole Miejskie Nr 1</t>
  </si>
  <si>
    <t>Przedszkole Miejskie Nr 2</t>
  </si>
  <si>
    <t>Przedszkole Miejskie Nr 3</t>
  </si>
  <si>
    <t>Przedszkole Miejskie Nr 4</t>
  </si>
  <si>
    <t>Przedszkole Miejskie Nr 5</t>
  </si>
  <si>
    <t xml:space="preserve">dotacje celowe otrzymane z budżetu państwa na realizację zadań bieżących z zakresu administracji rządowej oraz innych zadań zleconych gminie (związkom gmin) ustawami   </t>
  </si>
  <si>
    <t xml:space="preserve">WYTWARZANIE I ZAOPATRYWANIE W ENERGIĘ ELEKTRYCZNĄ, GAZ I WODĘ </t>
  </si>
  <si>
    <t>środki na dofinasowanie własnych inwestycji gmin (związków gmin), powiatów (związków powiatów), samorządów województw, pozyskane z innych źródeł</t>
  </si>
  <si>
    <t>dotacje celowe otrzymane z budżetu państwa na realizację inwestycji i zakupów inwestycyjnych własnych gmin (związków gmin)</t>
  </si>
  <si>
    <t>710</t>
  </si>
  <si>
    <t>71035</t>
  </si>
  <si>
    <t>dotacje celowe otrzymane z budżetu państwa na zadania bieżące realizowane przez gminę na podstawie porozumień z organami administracji rządowej</t>
  </si>
  <si>
    <t>dotacje celowe otrzymane z budżetu państwa na realizację zadań bieżących z zakresu administracji rządowej oraz innych zadań zleconych gminie (związkom gmin) ustawami</t>
  </si>
  <si>
    <t>zaległości z podatków zniesionych</t>
  </si>
  <si>
    <t>wpływy z opłat za zezwolenia na sprzedaż alkoholu</t>
  </si>
  <si>
    <t>dotacje celowe otrzymane z budżetu państwa na realizację własnych zadań bieżących gmin (związków gmin)</t>
  </si>
  <si>
    <t>środki na dofinansowanie własnych inwestycji gmin (związków gmin), powiatów (związków powiatów), samorządów województw, pozyskane z innych źródeł</t>
  </si>
  <si>
    <t>92105</t>
  </si>
  <si>
    <t xml:space="preserve">wpływy z tytułu pomocy finansowej udzielanej między jednostkami samorządu terytorialnego na dofinasowanie własnych zadań bieżących </t>
  </si>
  <si>
    <t>DOCHODY OD OSÓB PRAWNYCH, OD OSÓB FIZYCZNYCH I OD INNYCH JEDNOSTEK NIE POSIADAJĄCYCH OSOBOWOŚCI PRAWNEJ ORAZ WYDATKI ZWIĄZANE Z ICH POBOREM</t>
  </si>
  <si>
    <t>dotacje celowe otrzymane z budżetu państwa na realiazację własnych zadań bieżących gmin (związków gmin)</t>
  </si>
  <si>
    <t>Projekt i wykonanie wodociągu wzdłuż ul. 3 Maja w tym zasilanie szpitala</t>
  </si>
  <si>
    <t xml:space="preserve">Budowa zawrotki </t>
  </si>
  <si>
    <t>Wykup działki ul. 29-go Listopada</t>
  </si>
  <si>
    <t>Modernizacja budynku na mieszkania socjalne ul. Kościuszki</t>
  </si>
  <si>
    <t>Urządzenie Placu Zabaw Osiedle Br. Śniadeckich</t>
  </si>
  <si>
    <t>Zakup sprzętu komputerowego "e-Urząd"</t>
  </si>
  <si>
    <t>Przebudowa stacji uzdatniania wody w Woli Małej koło Łańcuta</t>
  </si>
  <si>
    <t>Projekt kanalizacji deszczowej ul. Zubrzyckiego</t>
  </si>
  <si>
    <t xml:space="preserve">Projekt oświetlenia ulicznego ul. Sienkiewicza, Wąska, Kąty </t>
  </si>
  <si>
    <t>Projekt pawilonów Plac Targowy</t>
  </si>
  <si>
    <t>Basen kryty</t>
  </si>
  <si>
    <t xml:space="preserve">                  OGÓŁEM</t>
  </si>
  <si>
    <t>wpłaty tytułem partycypacji w inwestycjach miejskich</t>
  </si>
  <si>
    <t>Plan według uchwały budżetowej</t>
  </si>
  <si>
    <t>odsetki od nietrminowych wpłat</t>
  </si>
  <si>
    <t xml:space="preserve">pozostałe odsetki </t>
  </si>
  <si>
    <t>DOTACJE</t>
  </si>
  <si>
    <t>Nakłady sfinansowane z budżetu</t>
  </si>
  <si>
    <t xml:space="preserve">Nakłady sfinansowane z Gminnego Funduszu Ochrony Środowiska i Gospodarki Wodnej </t>
  </si>
  <si>
    <t>Razem wykonanie</t>
  </si>
  <si>
    <t>Lp.</t>
  </si>
  <si>
    <t>Nazwa jednostki organizacyjnej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</si>
  <si>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</si>
  <si>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</si>
  <si>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</si>
  <si>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</si>
  <si>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</si>
  <si>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</si>
  <si>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</si>
  <si>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</si>
  <si>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</si>
  <si>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</si>
  <si>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ZOBOWIĄZANIA</t>
  </si>
  <si>
    <t>NALEŻNOŚCI</t>
  </si>
  <si>
    <t>Urząd Miejski</t>
  </si>
  <si>
    <t>Miejski Ośrodek Pomocy Społecznej</t>
  </si>
  <si>
    <t>Miejski Ośrodek Sportu i Rekreacji</t>
  </si>
  <si>
    <t xml:space="preserve">Miejski Zakład Wodociągów i Kanalizacji </t>
  </si>
  <si>
    <t>11.</t>
  </si>
  <si>
    <t>12.</t>
  </si>
  <si>
    <t>13.</t>
  </si>
  <si>
    <t>14.</t>
  </si>
  <si>
    <t>15.</t>
  </si>
  <si>
    <t>16.</t>
  </si>
  <si>
    <t>17.</t>
  </si>
  <si>
    <r>
      <t>Kwota zobowiązań wymagalnych ogółem</t>
    </r>
    <r>
      <rPr>
        <sz val="10"/>
        <rFont val="Arial CE"/>
        <family val="0"/>
      </rPr>
      <t>, w tym:</t>
    </r>
  </si>
  <si>
    <t>z tytułu dostaw i usług</t>
  </si>
  <si>
    <r>
      <t>Kwota należności wymagalnych ogółem</t>
    </r>
    <r>
      <rPr>
        <sz val="10"/>
        <rFont val="Arial CE"/>
        <family val="0"/>
      </rPr>
      <t>, w tym:</t>
    </r>
  </si>
  <si>
    <t>WYDATKI BUDŻETOWE ZA 2006r.</t>
  </si>
  <si>
    <t>DOCHODY BUDŻETOWE ZA 2006r.</t>
  </si>
  <si>
    <t xml:space="preserve"> ZLECONYCH GMINIE W 2006r. </t>
  </si>
  <si>
    <t>PRZYCHODY I ROZCHODY BUDŻETU W 2006r.</t>
  </si>
  <si>
    <t>WYKAZ INWESTCJI REALIZOWANYCH W 2006r.</t>
  </si>
  <si>
    <t>PRZYCHODY I WYDATKI ZAKŁADÓW BUDŻETOWYCH W 2006r.</t>
  </si>
  <si>
    <t xml:space="preserve"> ZOBOWIĄZANIA I NALEŻNOŚCI WYMAGALNE GMINY NA DZIEŃ 31.12.2006r. </t>
  </si>
  <si>
    <t xml:space="preserve">                  Razem</t>
  </si>
  <si>
    <t>Rozbudowa i modernizacja obiektów oddziału wewnętrznego szpitala Zespołu Opieki Zdrowotnej w Łańcucie</t>
  </si>
  <si>
    <t>Dofinansowanie ambulansu sanitarnego dla Zespołu Opieki Zdrowotnej w Łańcucie</t>
  </si>
  <si>
    <t>Zakup samochodu (Miejski Zakład Budynków Mieszkalnych)</t>
  </si>
  <si>
    <t xml:space="preserve">Zakup sprzętu komputerowego </t>
  </si>
  <si>
    <t>Zakup oprogramowania i sprzętu komputerowego  do obsługi finansowej gospodarki mieszkaniowej</t>
  </si>
  <si>
    <t>I. KREDYTY I POŻYCZKI</t>
  </si>
  <si>
    <t>Bank Ochrony Środowiska Rzeszów S.A. Umowa Nr 17/2006/O/Rz</t>
  </si>
  <si>
    <t>Bank Spółdzielczy w Łańcucie Umowa Nr 2/2005</t>
  </si>
  <si>
    <t>Wojewódzki Fundusz Ochrony Środowiska i Gospodarki Wodnej S.A. Umowa Nr 48/2005/GW/R/P</t>
  </si>
  <si>
    <t>Wojewódzki Fundusz Ochrony Środowiska i Gospodarki Wodnej S.A. Umowa Nr 47/2005/OW/R/P</t>
  </si>
  <si>
    <t>Wojewódzki Fundusz Ochrony Środowiska i Gospodarki Wodnej S.A. Umowa Nr 49/2005/GW/R/PM</t>
  </si>
  <si>
    <t>II. Wolne środki jako nadwyżka środków pieniężnych na rachunku biezacym budżetu ustalona na dzień 31.12.2006r.</t>
  </si>
  <si>
    <t>OGÓŁEM</t>
  </si>
  <si>
    <t>Stan zobowiązań na dzień 1.01.2006r.</t>
  </si>
  <si>
    <t>Stan zobowiązań na dzień 31.12.2006r.</t>
  </si>
  <si>
    <t>Tabela nr 11</t>
  </si>
  <si>
    <t>DOTACJE Z BUDŻETU MIASTA ŁAŃCUTA PRZEKAZANE NA REALIZACJĘ ZADAŃ GMINY W 2006r.</t>
  </si>
  <si>
    <t>Objaśnienia</t>
  </si>
  <si>
    <t>Tabela nr 9</t>
  </si>
  <si>
    <t xml:space="preserve">ŚRODKI POMOCY FINANSOWEJ OTRZYMANE OD JEDNOSTEK SAMORZĄDU TERYTORIALNEGO W 2006r. </t>
  </si>
  <si>
    <t>Dotacja</t>
  </si>
  <si>
    <t>Wydatki</t>
  </si>
  <si>
    <t>Realizacja</t>
  </si>
  <si>
    <t>plan</t>
  </si>
  <si>
    <t xml:space="preserve">OGÓŁEM </t>
  </si>
  <si>
    <t>I.</t>
  </si>
  <si>
    <t>Stan funduszu na początek roku</t>
  </si>
  <si>
    <t>II.</t>
  </si>
  <si>
    <t>PRZYCHODY</t>
  </si>
  <si>
    <t>Wpływy z opłat za składowanie odpadów i kar za pozostałe rodzaje gospodarczego korzystania z wód i urządzeń wodnych</t>
  </si>
  <si>
    <t>Wpływy z tytułu kar i opłat za usuwanie drzew i krzewów</t>
  </si>
  <si>
    <t>III.</t>
  </si>
  <si>
    <t>Edukacja ekologiczna oraz propagowanie działań proekologicznych i zasady zrównoważonego rozwoju</t>
  </si>
  <si>
    <t>Wspomaganie systemów kontrolno - pomiarowych stanu środowiska</t>
  </si>
  <si>
    <t>Realizowanie zadań modernizacyjnych i inwestycyjnych, służących ochronie środowiska i gospodarki wodnej</t>
  </si>
  <si>
    <t>Urządzenie i utrzymywanie terenów zieleni</t>
  </si>
  <si>
    <t>Inne zadania służące ochronie środowiska</t>
  </si>
  <si>
    <t>IV.</t>
  </si>
  <si>
    <t>Stan funduszu na koniec roku</t>
  </si>
  <si>
    <t xml:space="preserve">ŚRODKI POMOCY FINANSOWEJ PRZEKAZANE NA RZECZ JEDNOSTEK SAMORZĄDU TERYTORIALNEGO W 2006r. </t>
  </si>
  <si>
    <t>Dotacja od Marszałka Województwa Podkarpackiego z przeznaczeniem na dofianasowanie Pleneru Rzeźbiarsko - Malarskiego "Łańcut 2006"</t>
  </si>
  <si>
    <t xml:space="preserve">Środki przekazane na rzecz Starostwa Powiatowego w Łańcucie z przeznaczeniem na rozbudowę i modernizację obiektów oddziału wewnętrznego szpitala Zespołu Opieki Zdrowotnej w Łańcucie  </t>
  </si>
  <si>
    <t xml:space="preserve">Środki przekazane na rzecz Starostwa Powiatowego w Łańcucie z przeznaczeniem na dofinansowanie zakupu ambulansu sanitarnego dla Zespołu Opieki Zdrowotnej w Łańcucie </t>
  </si>
  <si>
    <t>Tabela nr 10</t>
  </si>
  <si>
    <t>Remont mogiły żołnierzy Armmi Krajowej na cmentarzu komunalnym w Łańcucie</t>
  </si>
  <si>
    <t>WYDATKI NA ZADANIA REALIZOWANE W 2006r. NA PODSTAWIE POROZUMIEŃ</t>
  </si>
  <si>
    <t>Tabela nr 7</t>
  </si>
  <si>
    <t xml:space="preserve">           Plan finansowy Gminnego Funduszu Ochrony Środowiska i Gospodarki Wodnej na 2006 r</t>
  </si>
  <si>
    <t>Odsetki od środków na rachunku bankowym</t>
  </si>
  <si>
    <t>3.1.</t>
  </si>
  <si>
    <t>3.2.</t>
  </si>
  <si>
    <t>3.3.</t>
  </si>
  <si>
    <t>3.4.</t>
  </si>
  <si>
    <t>3.5.</t>
  </si>
  <si>
    <t>3.6.</t>
  </si>
  <si>
    <t>Wykonanie wodociągu wzdłuż ul. 3-go Maja</t>
  </si>
  <si>
    <t>Przebudowa Stacji Uzdatniania Wody</t>
  </si>
  <si>
    <t>Kanalizacja sanitarna dzielnicy Południe-Wschód</t>
  </si>
  <si>
    <t>Kanalizacja sanitarna dzielnicy Podzwierzyniec</t>
  </si>
  <si>
    <t>Pozostałe zadania (konserwacja potoku Mikośka, odbudowa rowów -Polna, Dębnik)</t>
  </si>
  <si>
    <t>Dotacja dla Urzędu Marszałkowskiego Województwa Podkarpackiego z przeznaczeniem na dokończenie inwestycji pn. Regionalny Ośrodek Rehabilitacyjno-Edukacyjny dla Dzieci i Młodzieży w Rzeszowie</t>
  </si>
  <si>
    <t>Wyposażenie obiektów sportowych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</si>
</sst>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_ ;[Red]\-#,##0\ "/>
    <numFmt numFmtId="172" formatCode="#,##0_ ;\-#,##0\ "/>
  </numFmts>
  <fonts count="18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1"/>
      <name val="Arial CE"/>
      <family val="2"/>
    </font>
    <font>
      <sz val="9"/>
      <name val="Arial"/>
      <family val="0"/>
    </font>
    <font>
      <i/>
      <sz val="10"/>
      <name val="Arial CE"/>
      <family val="0"/>
    </font>
    <font>
      <sz val="11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1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49" fontId="1" fillId="0" borderId="4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8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9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4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 wrapText="1"/>
    </xf>
    <xf numFmtId="3" fontId="12" fillId="0" borderId="9" xfId="0" applyNumberFormat="1" applyFont="1" applyBorder="1" applyAlignment="1">
      <alignment vertical="center"/>
    </xf>
    <xf numFmtId="3" fontId="12" fillId="0" borderId="9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4" fontId="12" fillId="0" borderId="8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center" wrapText="1"/>
    </xf>
    <xf numFmtId="3" fontId="12" fillId="0" borderId="2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9" fillId="0" borderId="12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" fontId="12" fillId="0" borderId="3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3" fontId="9" fillId="0" borderId="1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 wrapText="1"/>
    </xf>
    <xf numFmtId="3" fontId="9" fillId="0" borderId="8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6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3" fontId="15" fillId="0" borderId="14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/>
    </xf>
    <xf numFmtId="3" fontId="12" fillId="0" borderId="7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9" fillId="0" borderId="1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49" fontId="8" fillId="0" borderId="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0" fillId="0" borderId="2" xfId="0" applyNumberFormat="1" applyBorder="1" applyAlignment="1">
      <alignment vertical="center"/>
    </xf>
    <xf numFmtId="4" fontId="9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9" fontId="12" fillId="0" borderId="9" xfId="0" applyNumberFormat="1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vertical="center"/>
    </xf>
    <xf numFmtId="3" fontId="12" fillId="0" borderId="7" xfId="0" applyNumberFormat="1" applyFont="1" applyBorder="1" applyAlignment="1">
      <alignment horizontal="right" vertical="center"/>
    </xf>
    <xf numFmtId="9" fontId="12" fillId="0" borderId="2" xfId="19" applyNumberFormat="1" applyFont="1" applyBorder="1" applyAlignment="1">
      <alignment horizontal="right" vertical="center"/>
    </xf>
    <xf numFmtId="9" fontId="12" fillId="0" borderId="2" xfId="0" applyNumberFormat="1" applyFont="1" applyBorder="1" applyAlignment="1">
      <alignment horizontal="right" vertical="center"/>
    </xf>
    <xf numFmtId="9" fontId="12" fillId="0" borderId="3" xfId="0" applyNumberFormat="1" applyFont="1" applyBorder="1" applyAlignment="1">
      <alignment horizontal="right" vertical="center"/>
    </xf>
    <xf numFmtId="9" fontId="12" fillId="0" borderId="10" xfId="0" applyNumberFormat="1" applyFont="1" applyBorder="1" applyAlignment="1">
      <alignment vertical="center"/>
    </xf>
    <xf numFmtId="9" fontId="12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0" fillId="0" borderId="4" xfId="0" applyFont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3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49" fontId="9" fillId="0" borderId="5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9" fontId="12" fillId="0" borderId="10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9" fontId="9" fillId="0" borderId="1" xfId="0" applyNumberFormat="1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" fontId="12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right" vertical="center"/>
    </xf>
    <xf numFmtId="9" fontId="9" fillId="0" borderId="8" xfId="0" applyNumberFormat="1" applyFont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9" fontId="12" fillId="0" borderId="9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4" fillId="0" borderId="4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14" fillId="0" borderId="3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horizontal="right" vertical="center" wrapText="1"/>
    </xf>
    <xf numFmtId="3" fontId="14" fillId="0" borderId="4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 wrapText="1"/>
    </xf>
    <xf numFmtId="4" fontId="0" fillId="0" borderId="9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 wrapText="1"/>
    </xf>
    <xf numFmtId="4" fontId="0" fillId="0" borderId="3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vertical="center"/>
    </xf>
    <xf numFmtId="4" fontId="12" fillId="0" borderId="4" xfId="0" applyNumberFormat="1" applyFont="1" applyBorder="1" applyAlignment="1">
      <alignment vertical="center"/>
    </xf>
    <xf numFmtId="4" fontId="16" fillId="0" borderId="4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right" vertical="center"/>
    </xf>
    <xf numFmtId="4" fontId="0" fillId="0" borderId="9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49" fontId="0" fillId="0" borderId="7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 wrapText="1"/>
    </xf>
    <xf numFmtId="10" fontId="15" fillId="0" borderId="4" xfId="0" applyNumberFormat="1" applyFont="1" applyBorder="1" applyAlignment="1">
      <alignment horizontal="center" vertical="center"/>
    </xf>
    <xf numFmtId="10" fontId="15" fillId="0" borderId="6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7" fillId="0" borderId="3" xfId="0" applyNumberFormat="1" applyFont="1" applyBorder="1" applyAlignment="1">
      <alignment horizontal="left" vertical="center" wrapText="1"/>
    </xf>
    <xf numFmtId="0" fontId="17" fillId="0" borderId="0" xfId="0" applyNumberFormat="1" applyFont="1" applyAlignment="1">
      <alignment horizontal="right" vertical="center" wrapText="1"/>
    </xf>
    <xf numFmtId="4" fontId="17" fillId="0" borderId="3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vertical="center" wrapText="1"/>
    </xf>
    <xf numFmtId="3" fontId="13" fillId="0" borderId="4" xfId="0" applyNumberFormat="1" applyFont="1" applyBorder="1" applyAlignment="1">
      <alignment horizontal="right"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4" fontId="14" fillId="0" borderId="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5" fillId="0" borderId="14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="90" zoomScaleNormal="90" workbookViewId="0" topLeftCell="A1">
      <selection activeCell="F151" sqref="F151"/>
    </sheetView>
  </sheetViews>
  <sheetFormatPr defaultColWidth="9.00390625" defaultRowHeight="12.75"/>
  <cols>
    <col min="1" max="1" width="13.25390625" style="13" customWidth="1"/>
    <col min="2" max="2" width="60.25390625" style="13" customWidth="1"/>
    <col min="3" max="3" width="16.00390625" style="14" customWidth="1"/>
    <col min="4" max="4" width="14.875" style="13" customWidth="1"/>
    <col min="5" max="5" width="15.25390625" style="13" customWidth="1"/>
    <col min="6" max="6" width="11.375" style="13" customWidth="1"/>
    <col min="7" max="7" width="9.125" style="13" customWidth="1"/>
    <col min="9" max="9" width="9.25390625" style="0" customWidth="1"/>
  </cols>
  <sheetData>
    <row r="1" spans="1:6" ht="27" customHeight="1">
      <c r="A1" s="495" t="s">
        <v>218</v>
      </c>
      <c r="B1" s="495"/>
      <c r="C1" s="495"/>
      <c r="D1" s="495"/>
      <c r="E1" s="495"/>
      <c r="F1" s="495"/>
    </row>
    <row r="2" spans="1:7" ht="39.75" customHeight="1">
      <c r="A2" s="500" t="s">
        <v>346</v>
      </c>
      <c r="B2" s="500"/>
      <c r="C2" s="500"/>
      <c r="D2" s="500"/>
      <c r="E2" s="500"/>
      <c r="F2" s="500"/>
      <c r="G2" s="106"/>
    </row>
    <row r="3" spans="1:7" ht="30.75" customHeight="1">
      <c r="A3" s="498" t="s">
        <v>12</v>
      </c>
      <c r="B3" s="501" t="s">
        <v>0</v>
      </c>
      <c r="C3" s="503" t="s">
        <v>310</v>
      </c>
      <c r="D3" s="505" t="s">
        <v>100</v>
      </c>
      <c r="E3" s="507" t="s">
        <v>101</v>
      </c>
      <c r="F3" s="508"/>
      <c r="G3" s="106"/>
    </row>
    <row r="4" spans="1:7" ht="30" customHeight="1">
      <c r="A4" s="499"/>
      <c r="B4" s="502"/>
      <c r="C4" s="504"/>
      <c r="D4" s="506"/>
      <c r="E4" s="111" t="s">
        <v>102</v>
      </c>
      <c r="F4" s="112" t="s">
        <v>103</v>
      </c>
      <c r="G4" s="106"/>
    </row>
    <row r="5" spans="1:6" s="8" customFormat="1" ht="15.75" customHeight="1">
      <c r="A5" s="148">
        <v>1</v>
      </c>
      <c r="B5" s="148">
        <v>2</v>
      </c>
      <c r="C5" s="185">
        <v>3</v>
      </c>
      <c r="D5" s="147">
        <v>4</v>
      </c>
      <c r="E5" s="284">
        <v>5</v>
      </c>
      <c r="F5" s="283">
        <v>6</v>
      </c>
    </row>
    <row r="6" spans="1:6" s="286" customFormat="1" ht="36" customHeight="1">
      <c r="A6" s="290" t="s">
        <v>53</v>
      </c>
      <c r="B6" s="292" t="s">
        <v>233</v>
      </c>
      <c r="C6" s="301">
        <f aca="true" t="shared" si="0" ref="C6:E7">C7</f>
        <v>0</v>
      </c>
      <c r="D6" s="305">
        <f t="shared" si="0"/>
        <v>1582</v>
      </c>
      <c r="E6" s="309">
        <f t="shared" si="0"/>
        <v>1580.6</v>
      </c>
      <c r="F6" s="313">
        <f>E6/D6</f>
        <v>0.9991150442477875</v>
      </c>
    </row>
    <row r="7" spans="1:6" s="286" customFormat="1" ht="33" customHeight="1">
      <c r="A7" s="251" t="s">
        <v>55</v>
      </c>
      <c r="B7" s="293" t="s">
        <v>20</v>
      </c>
      <c r="C7" s="301">
        <f t="shared" si="0"/>
        <v>0</v>
      </c>
      <c r="D7" s="305">
        <f t="shared" si="0"/>
        <v>1582</v>
      </c>
      <c r="E7" s="310">
        <f t="shared" si="0"/>
        <v>1580.6</v>
      </c>
      <c r="F7" s="263">
        <f>E7/D7</f>
        <v>0.9991150442477875</v>
      </c>
    </row>
    <row r="8" spans="1:6" s="288" customFormat="1" ht="58.5" customHeight="1">
      <c r="A8" s="287"/>
      <c r="B8" s="294" t="s">
        <v>281</v>
      </c>
      <c r="C8" s="268">
        <v>0</v>
      </c>
      <c r="D8" s="306">
        <v>1582</v>
      </c>
      <c r="E8" s="311">
        <v>1580.6</v>
      </c>
      <c r="F8" s="263"/>
    </row>
    <row r="9" spans="1:6" s="286" customFormat="1" ht="52.5" customHeight="1">
      <c r="A9" s="285">
        <v>400</v>
      </c>
      <c r="B9" s="295" t="s">
        <v>282</v>
      </c>
      <c r="C9" s="300">
        <f>C10</f>
        <v>1562420</v>
      </c>
      <c r="D9" s="307">
        <f>D10</f>
        <v>0</v>
      </c>
      <c r="E9" s="309">
        <f>E10</f>
        <v>0</v>
      </c>
      <c r="F9" s="313">
        <v>0</v>
      </c>
    </row>
    <row r="10" spans="1:6" s="286" customFormat="1" ht="33" customHeight="1">
      <c r="A10" s="291">
        <v>40002</v>
      </c>
      <c r="B10" s="293" t="s">
        <v>90</v>
      </c>
      <c r="C10" s="301">
        <f>C11+C12</f>
        <v>1562420</v>
      </c>
      <c r="D10" s="305">
        <f>D11+D12</f>
        <v>0</v>
      </c>
      <c r="E10" s="310">
        <f>E11+E12</f>
        <v>0</v>
      </c>
      <c r="F10" s="263">
        <f>E10</f>
        <v>0</v>
      </c>
    </row>
    <row r="11" spans="1:6" s="288" customFormat="1" ht="61.5" customHeight="1">
      <c r="A11" s="287"/>
      <c r="B11" s="294" t="s">
        <v>283</v>
      </c>
      <c r="C11" s="268">
        <v>1205441</v>
      </c>
      <c r="D11" s="306">
        <v>0</v>
      </c>
      <c r="E11" s="311">
        <v>0</v>
      </c>
      <c r="F11" s="263"/>
    </row>
    <row r="12" spans="1:6" s="288" customFormat="1" ht="69.75" customHeight="1">
      <c r="A12" s="289"/>
      <c r="B12" s="296" t="s">
        <v>284</v>
      </c>
      <c r="C12" s="304">
        <v>356979</v>
      </c>
      <c r="D12" s="308">
        <v>0</v>
      </c>
      <c r="E12" s="312">
        <v>0</v>
      </c>
      <c r="F12" s="314"/>
    </row>
    <row r="13" spans="1:6" s="187" customFormat="1" ht="15.75" customHeight="1">
      <c r="A13" s="152" t="s">
        <v>216</v>
      </c>
      <c r="B13" s="183" t="s">
        <v>215</v>
      </c>
      <c r="C13" s="188">
        <v>3</v>
      </c>
      <c r="D13" s="189">
        <v>4</v>
      </c>
      <c r="E13" s="185">
        <v>5</v>
      </c>
      <c r="F13" s="190">
        <v>6</v>
      </c>
    </row>
    <row r="14" spans="1:7" s="21" customFormat="1" ht="29.25" customHeight="1">
      <c r="A14" s="69">
        <v>700</v>
      </c>
      <c r="B14" s="116" t="s">
        <v>1</v>
      </c>
      <c r="C14" s="73">
        <f>C15</f>
        <v>1384228</v>
      </c>
      <c r="D14" s="73">
        <f>D15</f>
        <v>1588228</v>
      </c>
      <c r="E14" s="103">
        <f>E15</f>
        <v>1708637.29</v>
      </c>
      <c r="F14" s="262">
        <f>E14/D14</f>
        <v>1.0758136048476667</v>
      </c>
      <c r="G14" s="114"/>
    </row>
    <row r="15" spans="1:7" s="21" customFormat="1" ht="33" customHeight="1">
      <c r="A15" s="69" t="s">
        <v>110</v>
      </c>
      <c r="B15" s="116" t="s">
        <v>23</v>
      </c>
      <c r="C15" s="73">
        <f>C16+C17+C18+C19+C20+C21</f>
        <v>1384228</v>
      </c>
      <c r="D15" s="73">
        <f>D16+D17+D18+D19+D20+D21</f>
        <v>1588228</v>
      </c>
      <c r="E15" s="103">
        <f>E16+E17+E18+E19+E20+E21</f>
        <v>1708637.29</v>
      </c>
      <c r="F15" s="263">
        <f>E15/D15</f>
        <v>1.0758136048476667</v>
      </c>
      <c r="G15" s="114"/>
    </row>
    <row r="16" spans="1:7" ht="42.75" customHeight="1">
      <c r="A16" s="75"/>
      <c r="B16" s="76" t="s">
        <v>151</v>
      </c>
      <c r="C16" s="77">
        <v>195000</v>
      </c>
      <c r="D16" s="77">
        <v>195000</v>
      </c>
      <c r="E16" s="104">
        <v>170311.46</v>
      </c>
      <c r="F16" s="272"/>
      <c r="G16" s="106"/>
    </row>
    <row r="17" spans="1:7" ht="68.25" customHeight="1">
      <c r="A17" s="75"/>
      <c r="B17" s="76" t="s">
        <v>71</v>
      </c>
      <c r="C17" s="77">
        <v>989228</v>
      </c>
      <c r="D17" s="77">
        <v>1076228</v>
      </c>
      <c r="E17" s="104">
        <v>1115303</v>
      </c>
      <c r="F17" s="273"/>
      <c r="G17" s="106"/>
    </row>
    <row r="18" spans="1:7" ht="46.5" customHeight="1">
      <c r="A18" s="75"/>
      <c r="B18" s="76" t="s">
        <v>231</v>
      </c>
      <c r="C18" s="77">
        <v>10000</v>
      </c>
      <c r="D18" s="77">
        <v>22000</v>
      </c>
      <c r="E18" s="104">
        <v>22832</v>
      </c>
      <c r="F18" s="273"/>
      <c r="G18" s="106"/>
    </row>
    <row r="19" spans="1:7" ht="42" customHeight="1">
      <c r="A19" s="75"/>
      <c r="B19" s="76" t="s">
        <v>204</v>
      </c>
      <c r="C19" s="77">
        <v>100000</v>
      </c>
      <c r="D19" s="77">
        <v>205000</v>
      </c>
      <c r="E19" s="104">
        <v>312430.51</v>
      </c>
      <c r="F19" s="273"/>
      <c r="G19" s="106"/>
    </row>
    <row r="20" spans="1:7" ht="42.75" customHeight="1">
      <c r="A20" s="75"/>
      <c r="B20" s="76" t="s">
        <v>188</v>
      </c>
      <c r="C20" s="77">
        <v>85000</v>
      </c>
      <c r="D20" s="77">
        <v>70000</v>
      </c>
      <c r="E20" s="104">
        <v>86504.06</v>
      </c>
      <c r="F20" s="273"/>
      <c r="G20" s="106"/>
    </row>
    <row r="21" spans="1:7" s="19" customFormat="1" ht="42" customHeight="1">
      <c r="A21" s="75"/>
      <c r="B21" s="76" t="s">
        <v>189</v>
      </c>
      <c r="C21" s="77">
        <v>5000</v>
      </c>
      <c r="D21" s="77">
        <v>20000</v>
      </c>
      <c r="E21" s="104">
        <v>1256.26</v>
      </c>
      <c r="F21" s="273"/>
      <c r="G21" s="161"/>
    </row>
    <row r="22" spans="1:7" s="168" customFormat="1" ht="30.75" customHeight="1">
      <c r="A22" s="290" t="s">
        <v>285</v>
      </c>
      <c r="B22" s="298" t="s">
        <v>24</v>
      </c>
      <c r="C22" s="300">
        <f aca="true" t="shared" si="1" ref="C22:E23">C23</f>
        <v>0</v>
      </c>
      <c r="D22" s="299">
        <f t="shared" si="1"/>
        <v>10000</v>
      </c>
      <c r="E22" s="303">
        <f t="shared" si="1"/>
        <v>10000</v>
      </c>
      <c r="F22" s="329">
        <f>E22/D22</f>
        <v>1</v>
      </c>
      <c r="G22" s="297"/>
    </row>
    <row r="23" spans="1:7" s="168" customFormat="1" ht="33" customHeight="1">
      <c r="A23" s="251" t="s">
        <v>286</v>
      </c>
      <c r="B23" s="253" t="s">
        <v>26</v>
      </c>
      <c r="C23" s="301">
        <f t="shared" si="1"/>
        <v>0</v>
      </c>
      <c r="D23" s="257">
        <f t="shared" si="1"/>
        <v>10000</v>
      </c>
      <c r="E23" s="249">
        <f t="shared" si="1"/>
        <v>10000</v>
      </c>
      <c r="F23" s="332">
        <f>E23/D23</f>
        <v>1</v>
      </c>
      <c r="G23" s="297"/>
    </row>
    <row r="24" spans="1:7" s="19" customFormat="1" ht="64.5" customHeight="1">
      <c r="A24" s="90"/>
      <c r="B24" s="153" t="s">
        <v>287</v>
      </c>
      <c r="C24" s="79">
        <v>0</v>
      </c>
      <c r="D24" s="271">
        <v>10000</v>
      </c>
      <c r="E24" s="115">
        <v>10000</v>
      </c>
      <c r="F24" s="302"/>
      <c r="G24" s="161"/>
    </row>
    <row r="25" spans="1:6" s="184" customFormat="1" ht="15.75" customHeight="1">
      <c r="A25" s="152" t="s">
        <v>216</v>
      </c>
      <c r="B25" s="183" t="s">
        <v>215</v>
      </c>
      <c r="C25" s="185">
        <v>3</v>
      </c>
      <c r="D25" s="185">
        <v>4</v>
      </c>
      <c r="E25" s="185">
        <v>5</v>
      </c>
      <c r="F25" s="190">
        <v>6</v>
      </c>
    </row>
    <row r="26" spans="1:7" s="21" customFormat="1" ht="26.25" customHeight="1">
      <c r="A26" s="118">
        <v>750</v>
      </c>
      <c r="B26" s="119" t="s">
        <v>2</v>
      </c>
      <c r="C26" s="120">
        <f>C27+C30</f>
        <v>203358</v>
      </c>
      <c r="D26" s="117">
        <f>D27+D30</f>
        <v>226172</v>
      </c>
      <c r="E26" s="122">
        <f>E27+E30</f>
        <v>260998.27000000002</v>
      </c>
      <c r="F26" s="266">
        <f>E26/D26</f>
        <v>1.1539813504766285</v>
      </c>
      <c r="G26" s="114"/>
    </row>
    <row r="27" spans="1:7" s="21" customFormat="1" ht="27" customHeight="1">
      <c r="A27" s="69" t="s">
        <v>111</v>
      </c>
      <c r="B27" s="70" t="s">
        <v>87</v>
      </c>
      <c r="C27" s="72">
        <f>C28+C29</f>
        <v>123358</v>
      </c>
      <c r="D27" s="108">
        <f>D28+D29</f>
        <v>123358</v>
      </c>
      <c r="E27" s="103">
        <f>E28+E29</f>
        <v>124059.98</v>
      </c>
      <c r="F27" s="263">
        <f>E27/D27</f>
        <v>1.0056905916114074</v>
      </c>
      <c r="G27" s="114"/>
    </row>
    <row r="28" spans="1:7" ht="51" customHeight="1">
      <c r="A28" s="75"/>
      <c r="B28" s="76" t="s">
        <v>288</v>
      </c>
      <c r="C28" s="66">
        <v>120858</v>
      </c>
      <c r="D28" s="109">
        <v>120858</v>
      </c>
      <c r="E28" s="104">
        <v>120858</v>
      </c>
      <c r="F28" s="264"/>
      <c r="G28" s="106"/>
    </row>
    <row r="29" spans="1:7" ht="36.75" customHeight="1">
      <c r="A29" s="75"/>
      <c r="B29" s="76" t="s">
        <v>109</v>
      </c>
      <c r="C29" s="66">
        <v>2500</v>
      </c>
      <c r="D29" s="109">
        <v>2500</v>
      </c>
      <c r="E29" s="104">
        <v>3201.98</v>
      </c>
      <c r="F29" s="264"/>
      <c r="G29" s="106"/>
    </row>
    <row r="30" spans="1:7" s="21" customFormat="1" ht="28.5" customHeight="1">
      <c r="A30" s="69" t="s">
        <v>112</v>
      </c>
      <c r="B30" s="70" t="s">
        <v>255</v>
      </c>
      <c r="C30" s="72">
        <f>C31+C32</f>
        <v>80000</v>
      </c>
      <c r="D30" s="108">
        <f>D31+D32</f>
        <v>102814</v>
      </c>
      <c r="E30" s="103">
        <f>E31+E32</f>
        <v>136938.29</v>
      </c>
      <c r="F30" s="263">
        <f>E30/D30</f>
        <v>1.3319031454860233</v>
      </c>
      <c r="G30" s="114"/>
    </row>
    <row r="31" spans="1:7" s="26" customFormat="1" ht="48" customHeight="1">
      <c r="A31" s="75"/>
      <c r="B31" s="76" t="s">
        <v>190</v>
      </c>
      <c r="C31" s="66">
        <v>0</v>
      </c>
      <c r="D31" s="109">
        <v>50000</v>
      </c>
      <c r="E31" s="104">
        <v>32769.4</v>
      </c>
      <c r="F31" s="273"/>
      <c r="G31" s="106"/>
    </row>
    <row r="32" spans="1:7" ht="25.5" customHeight="1">
      <c r="A32" s="75"/>
      <c r="B32" s="86" t="s">
        <v>182</v>
      </c>
      <c r="C32" s="88">
        <v>80000</v>
      </c>
      <c r="D32" s="110">
        <v>52814</v>
      </c>
      <c r="E32" s="115">
        <v>104168.89</v>
      </c>
      <c r="F32" s="274"/>
      <c r="G32" s="106"/>
    </row>
    <row r="33" spans="1:7" s="21" customFormat="1" ht="41.25" customHeight="1">
      <c r="A33" s="118">
        <v>751</v>
      </c>
      <c r="B33" s="150" t="s">
        <v>3</v>
      </c>
      <c r="C33" s="113">
        <f>C34+C36</f>
        <v>2712</v>
      </c>
      <c r="D33" s="113">
        <f>D34+D36</f>
        <v>56092</v>
      </c>
      <c r="E33" s="122">
        <f>E34+E36</f>
        <v>55022</v>
      </c>
      <c r="F33" s="266">
        <f>E33/D33</f>
        <v>0.9809241959637738</v>
      </c>
      <c r="G33" s="114"/>
    </row>
    <row r="34" spans="1:7" s="21" customFormat="1" ht="39" customHeight="1">
      <c r="A34" s="69" t="s">
        <v>113</v>
      </c>
      <c r="B34" s="99" t="s">
        <v>146</v>
      </c>
      <c r="C34" s="73">
        <f>C35</f>
        <v>2712</v>
      </c>
      <c r="D34" s="73">
        <f>D35</f>
        <v>2712</v>
      </c>
      <c r="E34" s="103">
        <f>E35</f>
        <v>2712</v>
      </c>
      <c r="F34" s="263">
        <f>E34/D34</f>
        <v>1</v>
      </c>
      <c r="G34" s="114"/>
    </row>
    <row r="35" spans="1:7" s="21" customFormat="1" ht="49.5" customHeight="1">
      <c r="A35" s="69"/>
      <c r="B35" s="151" t="s">
        <v>288</v>
      </c>
      <c r="C35" s="268">
        <v>2712</v>
      </c>
      <c r="D35" s="268">
        <v>2712</v>
      </c>
      <c r="E35" s="250">
        <v>2712</v>
      </c>
      <c r="F35" s="263"/>
      <c r="G35" s="114"/>
    </row>
    <row r="36" spans="1:7" s="21" customFormat="1" ht="54" customHeight="1">
      <c r="A36" s="69" t="s">
        <v>264</v>
      </c>
      <c r="B36" s="99" t="s">
        <v>234</v>
      </c>
      <c r="C36" s="73">
        <f>C37</f>
        <v>0</v>
      </c>
      <c r="D36" s="73">
        <f>D37</f>
        <v>53380</v>
      </c>
      <c r="E36" s="103">
        <f>E37</f>
        <v>52310</v>
      </c>
      <c r="F36" s="263">
        <f>E36/D36</f>
        <v>0.979955039340577</v>
      </c>
      <c r="G36" s="114"/>
    </row>
    <row r="37" spans="1:7" ht="52.5" customHeight="1">
      <c r="A37" s="90"/>
      <c r="B37" s="153" t="s">
        <v>288</v>
      </c>
      <c r="C37" s="79">
        <v>0</v>
      </c>
      <c r="D37" s="79">
        <v>53380</v>
      </c>
      <c r="E37" s="115">
        <v>52310</v>
      </c>
      <c r="F37" s="274"/>
      <c r="G37" s="106"/>
    </row>
    <row r="38" spans="1:6" s="184" customFormat="1" ht="15.75" customHeight="1">
      <c r="A38" s="152" t="s">
        <v>216</v>
      </c>
      <c r="B38" s="183" t="s">
        <v>215</v>
      </c>
      <c r="C38" s="185">
        <v>3</v>
      </c>
      <c r="D38" s="185">
        <v>4</v>
      </c>
      <c r="E38" s="185">
        <v>5</v>
      </c>
      <c r="F38" s="190">
        <v>6</v>
      </c>
    </row>
    <row r="39" spans="1:7" s="21" customFormat="1" ht="78" customHeight="1">
      <c r="A39" s="118">
        <v>756</v>
      </c>
      <c r="B39" s="150" t="s">
        <v>295</v>
      </c>
      <c r="C39" s="113">
        <f>C40+C43+C52+C63+C69+C71</f>
        <v>16863649</v>
      </c>
      <c r="D39" s="121">
        <f>D40+D43+D52+D63+D69+D71</f>
        <v>17109349</v>
      </c>
      <c r="E39" s="122">
        <f>E40+E43+E52+E63+E69+E71</f>
        <v>17944080.85</v>
      </c>
      <c r="F39" s="266">
        <f>E39/D39</f>
        <v>1.0487880544139934</v>
      </c>
      <c r="G39" s="114"/>
    </row>
    <row r="40" spans="1:7" s="21" customFormat="1" ht="33.75" customHeight="1">
      <c r="A40" s="69" t="s">
        <v>114</v>
      </c>
      <c r="B40" s="99" t="s">
        <v>115</v>
      </c>
      <c r="C40" s="73">
        <f>C41+C42</f>
        <v>50100</v>
      </c>
      <c r="D40" s="100">
        <f>D41+D42</f>
        <v>50100</v>
      </c>
      <c r="E40" s="103">
        <f>E41+E42</f>
        <v>68103.22</v>
      </c>
      <c r="F40" s="263">
        <f>E40/D40</f>
        <v>1.3593457085828344</v>
      </c>
      <c r="G40" s="114"/>
    </row>
    <row r="41" spans="1:7" ht="46.5" customHeight="1">
      <c r="A41" s="75"/>
      <c r="B41" s="151" t="s">
        <v>72</v>
      </c>
      <c r="C41" s="77">
        <v>50000</v>
      </c>
      <c r="D41" s="101">
        <v>50000</v>
      </c>
      <c r="E41" s="104">
        <v>67273.05</v>
      </c>
      <c r="F41" s="264"/>
      <c r="G41" s="106"/>
    </row>
    <row r="42" spans="1:7" ht="30.75" customHeight="1">
      <c r="A42" s="75"/>
      <c r="B42" s="151" t="s">
        <v>191</v>
      </c>
      <c r="C42" s="77">
        <v>100</v>
      </c>
      <c r="D42" s="101">
        <v>100</v>
      </c>
      <c r="E42" s="104">
        <v>830.17</v>
      </c>
      <c r="F42" s="264"/>
      <c r="G42" s="106"/>
    </row>
    <row r="43" spans="1:7" s="21" customFormat="1" ht="68.25" customHeight="1">
      <c r="A43" s="69" t="s">
        <v>116</v>
      </c>
      <c r="B43" s="99" t="s">
        <v>156</v>
      </c>
      <c r="C43" s="73">
        <f>C44+C45+C46+C47+C48+C50</f>
        <v>5132500</v>
      </c>
      <c r="D43" s="100">
        <f>D44+D45+D46+D47+D48+D50</f>
        <v>5232500</v>
      </c>
      <c r="E43" s="103">
        <f>E44+E45+E46+E47+E48+E49+E50</f>
        <v>5469759.11</v>
      </c>
      <c r="F43" s="263">
        <f>E43/D43</f>
        <v>1.0453433559483996</v>
      </c>
      <c r="G43" s="114"/>
    </row>
    <row r="44" spans="1:7" ht="30" customHeight="1">
      <c r="A44" s="75"/>
      <c r="B44" s="151" t="s">
        <v>118</v>
      </c>
      <c r="C44" s="77">
        <v>5000000</v>
      </c>
      <c r="D44" s="101">
        <v>5000000</v>
      </c>
      <c r="E44" s="104">
        <v>5052481.21</v>
      </c>
      <c r="F44" s="273"/>
      <c r="G44" s="106"/>
    </row>
    <row r="45" spans="1:7" ht="30" customHeight="1">
      <c r="A45" s="75"/>
      <c r="B45" s="151" t="s">
        <v>73</v>
      </c>
      <c r="C45" s="77">
        <v>7000</v>
      </c>
      <c r="D45" s="101">
        <v>7000</v>
      </c>
      <c r="E45" s="104">
        <v>6234.9</v>
      </c>
      <c r="F45" s="273"/>
      <c r="G45" s="106"/>
    </row>
    <row r="46" spans="1:7" ht="30" customHeight="1">
      <c r="A46" s="75"/>
      <c r="B46" s="151" t="s">
        <v>74</v>
      </c>
      <c r="C46" s="77">
        <v>110000</v>
      </c>
      <c r="D46" s="101">
        <v>190000</v>
      </c>
      <c r="E46" s="104">
        <v>210622.69</v>
      </c>
      <c r="F46" s="273"/>
      <c r="G46" s="106"/>
    </row>
    <row r="47" spans="1:7" ht="30" customHeight="1">
      <c r="A47" s="75"/>
      <c r="B47" s="151" t="s">
        <v>78</v>
      </c>
      <c r="C47" s="77">
        <v>500</v>
      </c>
      <c r="D47" s="101">
        <v>500</v>
      </c>
      <c r="E47" s="104">
        <v>46</v>
      </c>
      <c r="F47" s="273"/>
      <c r="G47" s="106"/>
    </row>
    <row r="48" spans="1:7" ht="30" customHeight="1">
      <c r="A48" s="75"/>
      <c r="B48" s="151" t="s">
        <v>79</v>
      </c>
      <c r="C48" s="77">
        <v>10000</v>
      </c>
      <c r="D48" s="101">
        <v>30000</v>
      </c>
      <c r="E48" s="104">
        <v>32448</v>
      </c>
      <c r="F48" s="273"/>
      <c r="G48" s="106"/>
    </row>
    <row r="49" spans="1:7" ht="30" customHeight="1">
      <c r="A49" s="75"/>
      <c r="B49" s="151" t="s">
        <v>289</v>
      </c>
      <c r="C49" s="77">
        <v>0</v>
      </c>
      <c r="D49" s="101">
        <v>0</v>
      </c>
      <c r="E49" s="104">
        <v>142046.14</v>
      </c>
      <c r="F49" s="273"/>
      <c r="G49" s="106"/>
    </row>
    <row r="50" spans="1:7" ht="33.75" customHeight="1">
      <c r="A50" s="90"/>
      <c r="B50" s="153" t="s">
        <v>191</v>
      </c>
      <c r="C50" s="79">
        <v>5000</v>
      </c>
      <c r="D50" s="271">
        <v>5000</v>
      </c>
      <c r="E50" s="115">
        <v>25880.17</v>
      </c>
      <c r="F50" s="274"/>
      <c r="G50" s="106"/>
    </row>
    <row r="51" spans="1:6" s="184" customFormat="1" ht="15.75" customHeight="1">
      <c r="A51" s="152" t="s">
        <v>216</v>
      </c>
      <c r="B51" s="183" t="s">
        <v>215</v>
      </c>
      <c r="C51" s="185">
        <v>3</v>
      </c>
      <c r="D51" s="185">
        <v>4</v>
      </c>
      <c r="E51" s="185">
        <v>5</v>
      </c>
      <c r="F51" s="190">
        <v>6</v>
      </c>
    </row>
    <row r="52" spans="1:7" s="21" customFormat="1" ht="72.75" customHeight="1">
      <c r="A52" s="118" t="s">
        <v>117</v>
      </c>
      <c r="B52" s="150" t="s">
        <v>157</v>
      </c>
      <c r="C52" s="113">
        <f>C53+C54+C55+C56+C57+C58+C59+C60+C61+C62</f>
        <v>2611500</v>
      </c>
      <c r="D52" s="121">
        <f>D53+D54+D55+D56+D57+D58+D59+D60+D61+D62</f>
        <v>2710200</v>
      </c>
      <c r="E52" s="122">
        <f>E53+E54+E55+E56+E57+E58+E59+E60+E61+E62</f>
        <v>2882306.5599999996</v>
      </c>
      <c r="F52" s="334">
        <f>E52/D52</f>
        <v>1.0635032691314292</v>
      </c>
      <c r="G52" s="114"/>
    </row>
    <row r="53" spans="1:7" s="25" customFormat="1" ht="27" customHeight="1">
      <c r="A53" s="75"/>
      <c r="B53" s="151" t="s">
        <v>119</v>
      </c>
      <c r="C53" s="77">
        <v>1850000</v>
      </c>
      <c r="D53" s="101">
        <v>1900000</v>
      </c>
      <c r="E53" s="104">
        <v>1929388.19</v>
      </c>
      <c r="F53" s="273"/>
      <c r="G53" s="106"/>
    </row>
    <row r="54" spans="1:7" s="25" customFormat="1" ht="27" customHeight="1">
      <c r="A54" s="75"/>
      <c r="B54" s="151" t="s">
        <v>73</v>
      </c>
      <c r="C54" s="77">
        <v>120000</v>
      </c>
      <c r="D54" s="101">
        <v>120000</v>
      </c>
      <c r="E54" s="104">
        <v>115499.3</v>
      </c>
      <c r="F54" s="273"/>
      <c r="G54" s="106"/>
    </row>
    <row r="55" spans="1:7" s="25" customFormat="1" ht="27" customHeight="1">
      <c r="A55" s="75"/>
      <c r="B55" s="151" t="s">
        <v>120</v>
      </c>
      <c r="C55" s="77">
        <v>210000</v>
      </c>
      <c r="D55" s="101">
        <v>210000</v>
      </c>
      <c r="E55" s="104">
        <v>186668.7</v>
      </c>
      <c r="F55" s="273"/>
      <c r="G55" s="106"/>
    </row>
    <row r="56" spans="1:7" s="25" customFormat="1" ht="27" customHeight="1">
      <c r="A56" s="75"/>
      <c r="B56" s="151" t="s">
        <v>75</v>
      </c>
      <c r="C56" s="77">
        <v>30000</v>
      </c>
      <c r="D56" s="101">
        <v>45000</v>
      </c>
      <c r="E56" s="104">
        <v>81458.3</v>
      </c>
      <c r="F56" s="273"/>
      <c r="G56" s="106"/>
    </row>
    <row r="57" spans="1:7" s="25" customFormat="1" ht="27" customHeight="1">
      <c r="A57" s="75"/>
      <c r="B57" s="151" t="s">
        <v>76</v>
      </c>
      <c r="C57" s="77">
        <v>6000</v>
      </c>
      <c r="D57" s="101">
        <v>9700</v>
      </c>
      <c r="E57" s="104">
        <v>10550.5</v>
      </c>
      <c r="F57" s="273"/>
      <c r="G57" s="106"/>
    </row>
    <row r="58" spans="1:7" s="25" customFormat="1" ht="27" customHeight="1">
      <c r="A58" s="75"/>
      <c r="B58" s="151" t="s">
        <v>77</v>
      </c>
      <c r="C58" s="77">
        <v>135000</v>
      </c>
      <c r="D58" s="101">
        <v>135000</v>
      </c>
      <c r="E58" s="104">
        <v>128185</v>
      </c>
      <c r="F58" s="273"/>
      <c r="G58" s="106"/>
    </row>
    <row r="59" spans="1:7" s="25" customFormat="1" ht="26.25" customHeight="1">
      <c r="A59" s="75"/>
      <c r="B59" s="151" t="s">
        <v>158</v>
      </c>
      <c r="C59" s="77">
        <v>500</v>
      </c>
      <c r="D59" s="101">
        <v>500</v>
      </c>
      <c r="E59" s="104">
        <v>346.1</v>
      </c>
      <c r="F59" s="273"/>
      <c r="G59" s="106"/>
    </row>
    <row r="60" spans="1:7" ht="27" customHeight="1">
      <c r="A60" s="75"/>
      <c r="B60" s="151" t="s">
        <v>79</v>
      </c>
      <c r="C60" s="77">
        <v>250000</v>
      </c>
      <c r="D60" s="101">
        <v>280000</v>
      </c>
      <c r="E60" s="104">
        <v>419980.69</v>
      </c>
      <c r="F60" s="273"/>
      <c r="G60" s="106"/>
    </row>
    <row r="61" spans="1:7" ht="27" customHeight="1">
      <c r="A61" s="75"/>
      <c r="B61" s="151" t="s">
        <v>289</v>
      </c>
      <c r="C61" s="77">
        <v>0</v>
      </c>
      <c r="D61" s="101">
        <v>0</v>
      </c>
      <c r="E61" s="104">
        <v>2436.02</v>
      </c>
      <c r="F61" s="273"/>
      <c r="G61" s="106"/>
    </row>
    <row r="62" spans="1:7" ht="27" customHeight="1">
      <c r="A62" s="75"/>
      <c r="B62" s="151" t="s">
        <v>191</v>
      </c>
      <c r="C62" s="77">
        <v>10000</v>
      </c>
      <c r="D62" s="101">
        <v>10000</v>
      </c>
      <c r="E62" s="104">
        <v>7793.76</v>
      </c>
      <c r="F62" s="273"/>
      <c r="G62" s="106"/>
    </row>
    <row r="63" spans="1:7" s="21" customFormat="1" ht="46.5" customHeight="1">
      <c r="A63" s="69" t="s">
        <v>121</v>
      </c>
      <c r="B63" s="99" t="s">
        <v>147</v>
      </c>
      <c r="C63" s="73">
        <f>C64+C65+C66+C67</f>
        <v>924000</v>
      </c>
      <c r="D63" s="100">
        <f>D64+D65+D66+D67</f>
        <v>971000</v>
      </c>
      <c r="E63" s="103">
        <f>E64+E65+E66+E67</f>
        <v>1025312.69</v>
      </c>
      <c r="F63" s="263">
        <f>E63/D63</f>
        <v>1.055934799176107</v>
      </c>
      <c r="G63" s="114"/>
    </row>
    <row r="64" spans="1:7" ht="21" customHeight="1">
      <c r="A64" s="75"/>
      <c r="B64" s="151" t="s">
        <v>80</v>
      </c>
      <c r="C64" s="77">
        <v>650000</v>
      </c>
      <c r="D64" s="101">
        <v>650000</v>
      </c>
      <c r="E64" s="104">
        <v>690560.61</v>
      </c>
      <c r="F64" s="273"/>
      <c r="G64" s="106"/>
    </row>
    <row r="65" spans="1:7" ht="22.5" customHeight="1">
      <c r="A65" s="75"/>
      <c r="B65" s="151" t="s">
        <v>290</v>
      </c>
      <c r="C65" s="77">
        <v>237000</v>
      </c>
      <c r="D65" s="101">
        <v>257000</v>
      </c>
      <c r="E65" s="104">
        <v>264098.52</v>
      </c>
      <c r="F65" s="273"/>
      <c r="G65" s="106"/>
    </row>
    <row r="66" spans="1:7" ht="23.25" customHeight="1">
      <c r="A66" s="75"/>
      <c r="B66" s="151" t="s">
        <v>99</v>
      </c>
      <c r="C66" s="77">
        <v>37000</v>
      </c>
      <c r="D66" s="101">
        <v>64000</v>
      </c>
      <c r="E66" s="104">
        <f>70228.46</f>
        <v>70228.46</v>
      </c>
      <c r="F66" s="273"/>
      <c r="G66" s="106"/>
    </row>
    <row r="67" spans="1:7" ht="19.5" customHeight="1">
      <c r="A67" s="90"/>
      <c r="B67" s="153" t="s">
        <v>311</v>
      </c>
      <c r="C67" s="79">
        <v>0</v>
      </c>
      <c r="D67" s="271">
        <v>0</v>
      </c>
      <c r="E67" s="115">
        <v>425.1</v>
      </c>
      <c r="F67" s="274"/>
      <c r="G67" s="106"/>
    </row>
    <row r="68" spans="1:6" s="184" customFormat="1" ht="15.75" customHeight="1">
      <c r="A68" s="152" t="s">
        <v>216</v>
      </c>
      <c r="B68" s="183" t="s">
        <v>215</v>
      </c>
      <c r="C68" s="185">
        <v>3</v>
      </c>
      <c r="D68" s="185">
        <v>4</v>
      </c>
      <c r="E68" s="185">
        <v>5</v>
      </c>
      <c r="F68" s="190">
        <v>6</v>
      </c>
    </row>
    <row r="69" spans="1:7" s="21" customFormat="1" ht="28.5" customHeight="1">
      <c r="A69" s="69" t="s">
        <v>122</v>
      </c>
      <c r="B69" s="70" t="s">
        <v>123</v>
      </c>
      <c r="C69" s="73">
        <f>C70</f>
        <v>250000</v>
      </c>
      <c r="D69" s="73">
        <f>D70</f>
        <v>250000</v>
      </c>
      <c r="E69" s="103">
        <f>E70</f>
        <v>241860</v>
      </c>
      <c r="F69" s="263">
        <f>E69/D69</f>
        <v>0.96744</v>
      </c>
      <c r="G69" s="114"/>
    </row>
    <row r="70" spans="1:7" ht="41.25" customHeight="1">
      <c r="A70" s="75"/>
      <c r="B70" s="76" t="s">
        <v>174</v>
      </c>
      <c r="C70" s="77">
        <v>250000</v>
      </c>
      <c r="D70" s="77">
        <v>250000</v>
      </c>
      <c r="E70" s="104">
        <v>241860</v>
      </c>
      <c r="F70" s="264"/>
      <c r="G70" s="106"/>
    </row>
    <row r="71" spans="1:7" s="21" customFormat="1" ht="39.75" customHeight="1">
      <c r="A71" s="69" t="s">
        <v>124</v>
      </c>
      <c r="B71" s="70" t="s">
        <v>148</v>
      </c>
      <c r="C71" s="73">
        <f>C72+C73</f>
        <v>7895549</v>
      </c>
      <c r="D71" s="73">
        <f>D72+D73</f>
        <v>7895549</v>
      </c>
      <c r="E71" s="103">
        <f>E72+E73</f>
        <v>8256739.27</v>
      </c>
      <c r="F71" s="263">
        <f>E71/D71</f>
        <v>1.0457460614835017</v>
      </c>
      <c r="G71" s="114"/>
    </row>
    <row r="72" spans="1:7" ht="36" customHeight="1">
      <c r="A72" s="75"/>
      <c r="B72" s="76" t="s">
        <v>81</v>
      </c>
      <c r="C72" s="77">
        <v>7595549</v>
      </c>
      <c r="D72" s="77">
        <v>7595549</v>
      </c>
      <c r="E72" s="104">
        <v>7945838</v>
      </c>
      <c r="F72" s="264"/>
      <c r="G72" s="106"/>
    </row>
    <row r="73" spans="1:7" ht="27" customHeight="1">
      <c r="A73" s="90"/>
      <c r="B73" s="86" t="s">
        <v>82</v>
      </c>
      <c r="C73" s="79">
        <v>300000</v>
      </c>
      <c r="D73" s="79">
        <v>300000</v>
      </c>
      <c r="E73" s="115">
        <v>310901.27</v>
      </c>
      <c r="F73" s="265"/>
      <c r="G73" s="106"/>
    </row>
    <row r="74" spans="1:7" s="21" customFormat="1" ht="27" customHeight="1">
      <c r="A74" s="118">
        <v>758</v>
      </c>
      <c r="B74" s="150" t="s">
        <v>30</v>
      </c>
      <c r="C74" s="113">
        <f>C75+C77</f>
        <v>7767952</v>
      </c>
      <c r="D74" s="121">
        <f>D75+D77</f>
        <v>7827174</v>
      </c>
      <c r="E74" s="122">
        <f>E75+E77</f>
        <v>7830972.62</v>
      </c>
      <c r="F74" s="330">
        <f>E74/D74</f>
        <v>1.0004853118124115</v>
      </c>
      <c r="G74" s="114"/>
    </row>
    <row r="75" spans="1:7" s="21" customFormat="1" ht="39.75" customHeight="1">
      <c r="A75" s="69" t="s">
        <v>125</v>
      </c>
      <c r="B75" s="99" t="s">
        <v>159</v>
      </c>
      <c r="C75" s="73">
        <f>C76</f>
        <v>7747952</v>
      </c>
      <c r="D75" s="100">
        <f>D76</f>
        <v>7757174</v>
      </c>
      <c r="E75" s="103">
        <f>E76</f>
        <v>7757174</v>
      </c>
      <c r="F75" s="332">
        <f>E75/D75</f>
        <v>1</v>
      </c>
      <c r="G75" s="114"/>
    </row>
    <row r="76" spans="1:7" ht="27.75" customHeight="1">
      <c r="A76" s="75"/>
      <c r="B76" s="123" t="s">
        <v>178</v>
      </c>
      <c r="C76" s="77">
        <v>7747952</v>
      </c>
      <c r="D76" s="101">
        <v>7757174</v>
      </c>
      <c r="E76" s="104">
        <v>7757174</v>
      </c>
      <c r="F76" s="332"/>
      <c r="G76" s="106"/>
    </row>
    <row r="77" spans="1:7" s="21" customFormat="1" ht="27.75" customHeight="1">
      <c r="A77" s="69" t="s">
        <v>126</v>
      </c>
      <c r="B77" s="124" t="s">
        <v>127</v>
      </c>
      <c r="C77" s="73">
        <f>C78</f>
        <v>20000</v>
      </c>
      <c r="D77" s="100">
        <f>D78</f>
        <v>70000</v>
      </c>
      <c r="E77" s="103">
        <f>E78</f>
        <v>73798.62</v>
      </c>
      <c r="F77" s="332">
        <f>E77/D77</f>
        <v>1.054266</v>
      </c>
      <c r="G77" s="114"/>
    </row>
    <row r="78" spans="1:7" ht="25.5" customHeight="1">
      <c r="A78" s="164"/>
      <c r="B78" s="146" t="s">
        <v>179</v>
      </c>
      <c r="C78" s="93">
        <v>20000</v>
      </c>
      <c r="D78" s="165">
        <v>70000</v>
      </c>
      <c r="E78" s="166">
        <v>73798.62</v>
      </c>
      <c r="F78" s="275"/>
      <c r="G78" s="106"/>
    </row>
    <row r="79" spans="1:7" s="21" customFormat="1" ht="29.25" customHeight="1">
      <c r="A79" s="118">
        <v>801</v>
      </c>
      <c r="B79" s="126" t="s">
        <v>7</v>
      </c>
      <c r="C79" s="113">
        <f>C80+C85+C90+C94</f>
        <v>800653</v>
      </c>
      <c r="D79" s="113">
        <f>D80+D85+D90+D94</f>
        <v>830326</v>
      </c>
      <c r="E79" s="122">
        <f>E80+E85+E90+E94</f>
        <v>723823.71</v>
      </c>
      <c r="F79" s="266">
        <f>E79/D79</f>
        <v>0.8717343669835703</v>
      </c>
      <c r="G79" s="114"/>
    </row>
    <row r="80" spans="1:7" s="21" customFormat="1" ht="29.25" customHeight="1">
      <c r="A80" s="69" t="s">
        <v>137</v>
      </c>
      <c r="B80" s="127" t="s">
        <v>33</v>
      </c>
      <c r="C80" s="73">
        <f>C81+C82+C83</f>
        <v>2145</v>
      </c>
      <c r="D80" s="73">
        <f>D81+D82+D83</f>
        <v>21321</v>
      </c>
      <c r="E80" s="103">
        <f>E81+E82+E83</f>
        <v>16915.82</v>
      </c>
      <c r="F80" s="263">
        <f>E80/D80</f>
        <v>0.7933877397870643</v>
      </c>
      <c r="G80" s="114"/>
    </row>
    <row r="81" spans="1:7" s="25" customFormat="1" ht="25.5" customHeight="1">
      <c r="A81" s="75"/>
      <c r="B81" s="76" t="s">
        <v>180</v>
      </c>
      <c r="C81" s="77">
        <v>1100</v>
      </c>
      <c r="D81" s="77">
        <v>1100</v>
      </c>
      <c r="E81" s="104">
        <v>1280.21</v>
      </c>
      <c r="F81" s="264"/>
      <c r="G81" s="106"/>
    </row>
    <row r="82" spans="1:7" s="25" customFormat="1" ht="28.5" customHeight="1">
      <c r="A82" s="75"/>
      <c r="B82" s="76" t="s">
        <v>181</v>
      </c>
      <c r="C82" s="77">
        <v>1045</v>
      </c>
      <c r="D82" s="77">
        <v>1045</v>
      </c>
      <c r="E82" s="104">
        <v>962.33</v>
      </c>
      <c r="F82" s="264"/>
      <c r="G82" s="106"/>
    </row>
    <row r="83" spans="1:7" s="25" customFormat="1" ht="38.25" customHeight="1">
      <c r="A83" s="90"/>
      <c r="B83" s="86" t="s">
        <v>296</v>
      </c>
      <c r="C83" s="79">
        <v>0</v>
      </c>
      <c r="D83" s="79">
        <v>19176</v>
      </c>
      <c r="E83" s="115">
        <v>14673.28</v>
      </c>
      <c r="F83" s="274"/>
      <c r="G83" s="106"/>
    </row>
    <row r="84" spans="1:6" s="184" customFormat="1" ht="13.5" customHeight="1">
      <c r="A84" s="186">
        <v>1</v>
      </c>
      <c r="B84" s="148">
        <v>2</v>
      </c>
      <c r="C84" s="185">
        <v>3</v>
      </c>
      <c r="D84" s="185">
        <v>4</v>
      </c>
      <c r="E84" s="190">
        <v>5</v>
      </c>
      <c r="F84" s="190">
        <v>6</v>
      </c>
    </row>
    <row r="85" spans="1:7" s="21" customFormat="1" ht="26.25" customHeight="1">
      <c r="A85" s="118" t="s">
        <v>66</v>
      </c>
      <c r="B85" s="124" t="s">
        <v>34</v>
      </c>
      <c r="C85" s="113">
        <f>C86+C87+C88+C89</f>
        <v>777994</v>
      </c>
      <c r="D85" s="100">
        <f>D86+D87+D88+D89</f>
        <v>777994</v>
      </c>
      <c r="E85" s="122">
        <f>E86+E87+E88+E89</f>
        <v>681664.05</v>
      </c>
      <c r="F85" s="334">
        <f>E85/D85</f>
        <v>0.8761816286500925</v>
      </c>
      <c r="G85" s="114"/>
    </row>
    <row r="86" spans="1:7" ht="20.25" customHeight="1">
      <c r="A86" s="75"/>
      <c r="B86" s="151" t="s">
        <v>85</v>
      </c>
      <c r="C86" s="77">
        <v>347334</v>
      </c>
      <c r="D86" s="101">
        <v>347334</v>
      </c>
      <c r="E86" s="104">
        <v>264341.78</v>
      </c>
      <c r="F86" s="263"/>
      <c r="G86" s="106"/>
    </row>
    <row r="87" spans="1:6" s="174" customFormat="1" ht="20.25" customHeight="1">
      <c r="A87" s="75"/>
      <c r="B87" s="174" t="s">
        <v>205</v>
      </c>
      <c r="C87" s="77">
        <v>428270</v>
      </c>
      <c r="D87" s="101">
        <v>428270</v>
      </c>
      <c r="E87" s="104">
        <v>414919</v>
      </c>
      <c r="F87" s="263"/>
    </row>
    <row r="88" spans="1:7" ht="19.5" customHeight="1">
      <c r="A88" s="75"/>
      <c r="B88" s="151" t="s">
        <v>180</v>
      </c>
      <c r="C88" s="77">
        <v>1120</v>
      </c>
      <c r="D88" s="101">
        <v>1120</v>
      </c>
      <c r="E88" s="104">
        <v>1070.67</v>
      </c>
      <c r="F88" s="263"/>
      <c r="G88" s="106"/>
    </row>
    <row r="89" spans="1:7" ht="21" customHeight="1">
      <c r="A89" s="75"/>
      <c r="B89" s="151" t="s">
        <v>182</v>
      </c>
      <c r="C89" s="77">
        <v>1270</v>
      </c>
      <c r="D89" s="101">
        <v>1270</v>
      </c>
      <c r="E89" s="104">
        <v>1332.6</v>
      </c>
      <c r="F89" s="263"/>
      <c r="G89" s="106"/>
    </row>
    <row r="90" spans="1:7" s="21" customFormat="1" ht="24" customHeight="1">
      <c r="A90" s="69" t="s">
        <v>138</v>
      </c>
      <c r="B90" s="99" t="s">
        <v>35</v>
      </c>
      <c r="C90" s="73">
        <f>C91+C92+C93</f>
        <v>20514</v>
      </c>
      <c r="D90" s="100">
        <f>D91+D92+D93</f>
        <v>20514</v>
      </c>
      <c r="E90" s="103">
        <f>E91+E92+E93</f>
        <v>17171.09</v>
      </c>
      <c r="F90" s="263">
        <f>E90/D90</f>
        <v>0.8370425075558156</v>
      </c>
      <c r="G90" s="114"/>
    </row>
    <row r="91" spans="1:7" ht="62.25" customHeight="1">
      <c r="A91" s="75"/>
      <c r="B91" s="151" t="s">
        <v>71</v>
      </c>
      <c r="C91" s="77">
        <v>4864</v>
      </c>
      <c r="D91" s="101">
        <v>4864</v>
      </c>
      <c r="E91" s="104">
        <v>3893</v>
      </c>
      <c r="F91" s="263"/>
      <c r="G91" s="106"/>
    </row>
    <row r="92" spans="1:7" ht="21.75" customHeight="1">
      <c r="A92" s="75"/>
      <c r="B92" s="151" t="s">
        <v>183</v>
      </c>
      <c r="C92" s="77">
        <v>14800</v>
      </c>
      <c r="D92" s="101">
        <v>11870</v>
      </c>
      <c r="E92" s="104">
        <v>12601.7</v>
      </c>
      <c r="F92" s="335"/>
      <c r="G92" s="106"/>
    </row>
    <row r="93" spans="1:7" ht="22.5" customHeight="1">
      <c r="A93" s="75"/>
      <c r="B93" s="151" t="s">
        <v>180</v>
      </c>
      <c r="C93" s="77">
        <v>850</v>
      </c>
      <c r="D93" s="101">
        <v>3780</v>
      </c>
      <c r="E93" s="104">
        <v>676.39</v>
      </c>
      <c r="F93" s="335"/>
      <c r="G93" s="106"/>
    </row>
    <row r="94" spans="1:7" s="21" customFormat="1" ht="21.75" customHeight="1">
      <c r="A94" s="251" t="s">
        <v>139</v>
      </c>
      <c r="B94" s="253" t="s">
        <v>20</v>
      </c>
      <c r="C94" s="301">
        <f>C95</f>
        <v>0</v>
      </c>
      <c r="D94" s="257">
        <f>D95</f>
        <v>10497</v>
      </c>
      <c r="E94" s="249">
        <f>E95</f>
        <v>8072.75</v>
      </c>
      <c r="F94" s="263">
        <f>E94/D94</f>
        <v>0.7690530627798419</v>
      </c>
      <c r="G94" s="286"/>
    </row>
    <row r="95" spans="1:7" ht="42" customHeight="1">
      <c r="A95" s="75"/>
      <c r="B95" s="151" t="s">
        <v>291</v>
      </c>
      <c r="C95" s="77">
        <v>0</v>
      </c>
      <c r="D95" s="101">
        <v>10497</v>
      </c>
      <c r="E95" s="104">
        <v>8072.75</v>
      </c>
      <c r="F95" s="264"/>
      <c r="G95" s="106"/>
    </row>
    <row r="96" spans="1:7" s="21" customFormat="1" ht="28.5" customHeight="1">
      <c r="A96" s="118">
        <v>852</v>
      </c>
      <c r="B96" s="150" t="s">
        <v>8</v>
      </c>
      <c r="C96" s="113">
        <f>C97+C101+C103+C108+C111+C117+C119</f>
        <v>4519328</v>
      </c>
      <c r="D96" s="113">
        <f>D97+D101+D103+D108+D111+D117+D119</f>
        <v>4632169</v>
      </c>
      <c r="E96" s="155">
        <f>E97+E101+E103+E108+E111+E117+E119</f>
        <v>4575505.71</v>
      </c>
      <c r="F96" s="266">
        <f>E96/D96</f>
        <v>0.9877674389686559</v>
      </c>
      <c r="G96" s="114"/>
    </row>
    <row r="97" spans="1:7" s="21" customFormat="1" ht="52.5" customHeight="1">
      <c r="A97" s="69" t="s">
        <v>93</v>
      </c>
      <c r="B97" s="99" t="s">
        <v>206</v>
      </c>
      <c r="C97" s="73">
        <f>C98+C99</f>
        <v>3711000</v>
      </c>
      <c r="D97" s="73">
        <f>D98+D99</f>
        <v>3533500</v>
      </c>
      <c r="E97" s="156">
        <f>E98+E99</f>
        <v>3475475.79</v>
      </c>
      <c r="F97" s="263">
        <f>E97/D97</f>
        <v>0.9835788283571529</v>
      </c>
      <c r="G97" s="114"/>
    </row>
    <row r="98" spans="1:8" s="25" customFormat="1" ht="52.5" customHeight="1">
      <c r="A98" s="75"/>
      <c r="B98" s="151" t="s">
        <v>288</v>
      </c>
      <c r="C98" s="77">
        <v>3711000</v>
      </c>
      <c r="D98" s="77">
        <v>3528500</v>
      </c>
      <c r="E98" s="157">
        <v>3471105.71</v>
      </c>
      <c r="F98" s="273"/>
      <c r="G98" s="161"/>
      <c r="H98" s="172"/>
    </row>
    <row r="99" spans="1:7" s="25" customFormat="1" ht="47.25" customHeight="1">
      <c r="A99" s="90"/>
      <c r="B99" s="171" t="s">
        <v>192</v>
      </c>
      <c r="C99" s="79">
        <v>0</v>
      </c>
      <c r="D99" s="79">
        <v>5000</v>
      </c>
      <c r="E99" s="158">
        <v>4370.08</v>
      </c>
      <c r="F99" s="274"/>
      <c r="G99" s="106"/>
    </row>
    <row r="100" spans="1:6" s="184" customFormat="1" ht="15.75" customHeight="1">
      <c r="A100" s="152" t="s">
        <v>216</v>
      </c>
      <c r="B100" s="147">
        <v>2</v>
      </c>
      <c r="C100" s="185">
        <v>3</v>
      </c>
      <c r="D100" s="185">
        <v>4</v>
      </c>
      <c r="E100" s="185">
        <v>5</v>
      </c>
      <c r="F100" s="190">
        <v>6</v>
      </c>
    </row>
    <row r="101" spans="1:7" s="21" customFormat="1" ht="52.5" customHeight="1">
      <c r="A101" s="118" t="s">
        <v>140</v>
      </c>
      <c r="B101" s="150" t="s">
        <v>141</v>
      </c>
      <c r="C101" s="113">
        <f>C102</f>
        <v>27500</v>
      </c>
      <c r="D101" s="121">
        <f>D102</f>
        <v>22590</v>
      </c>
      <c r="E101" s="122">
        <f>E102</f>
        <v>22093.95</v>
      </c>
      <c r="F101" s="334">
        <f>E101/D101</f>
        <v>0.9780411686586986</v>
      </c>
      <c r="G101" s="114"/>
    </row>
    <row r="102" spans="1:7" s="25" customFormat="1" ht="54.75" customHeight="1">
      <c r="A102" s="75"/>
      <c r="B102" s="151" t="s">
        <v>288</v>
      </c>
      <c r="C102" s="77">
        <v>27500</v>
      </c>
      <c r="D102" s="101">
        <v>22590</v>
      </c>
      <c r="E102" s="104">
        <v>22093.95</v>
      </c>
      <c r="F102" s="263"/>
      <c r="G102" s="106"/>
    </row>
    <row r="103" spans="1:7" s="21" customFormat="1" ht="42" customHeight="1">
      <c r="A103" s="69" t="s">
        <v>142</v>
      </c>
      <c r="B103" s="99" t="s">
        <v>149</v>
      </c>
      <c r="C103" s="73">
        <f>C104+C105+C106+C107</f>
        <v>362500</v>
      </c>
      <c r="D103" s="100">
        <f>D104+D105+D106+D107</f>
        <v>438062</v>
      </c>
      <c r="E103" s="103">
        <f>E104+E105+E106+E107</f>
        <v>437752.62000000005</v>
      </c>
      <c r="F103" s="263">
        <f>E103/D103</f>
        <v>0.9992937529390818</v>
      </c>
      <c r="G103" s="114"/>
    </row>
    <row r="104" spans="1:7" s="26" customFormat="1" ht="27" customHeight="1">
      <c r="A104" s="75"/>
      <c r="B104" s="151" t="s">
        <v>193</v>
      </c>
      <c r="C104" s="77">
        <v>0</v>
      </c>
      <c r="D104" s="101">
        <v>0</v>
      </c>
      <c r="E104" s="104">
        <f>2706.5</f>
        <v>2706.5</v>
      </c>
      <c r="F104" s="273"/>
      <c r="G104" s="106"/>
    </row>
    <row r="105" spans="1:7" s="25" customFormat="1" ht="57.75" customHeight="1">
      <c r="A105" s="75"/>
      <c r="B105" s="151" t="s">
        <v>288</v>
      </c>
      <c r="C105" s="77">
        <v>221000</v>
      </c>
      <c r="D105" s="101">
        <v>247162</v>
      </c>
      <c r="E105" s="104">
        <v>244143.66</v>
      </c>
      <c r="F105" s="273"/>
      <c r="G105" s="106"/>
    </row>
    <row r="106" spans="1:7" s="25" customFormat="1" ht="44.25" customHeight="1">
      <c r="A106" s="75"/>
      <c r="B106" s="151" t="s">
        <v>291</v>
      </c>
      <c r="C106" s="77">
        <v>141500</v>
      </c>
      <c r="D106" s="101">
        <v>190900</v>
      </c>
      <c r="E106" s="104">
        <v>190900</v>
      </c>
      <c r="F106" s="273"/>
      <c r="G106" s="106"/>
    </row>
    <row r="107" spans="1:7" s="25" customFormat="1" ht="22.5" customHeight="1">
      <c r="A107" s="75"/>
      <c r="B107" s="151" t="s">
        <v>312</v>
      </c>
      <c r="C107" s="77">
        <v>0</v>
      </c>
      <c r="D107" s="101">
        <v>0</v>
      </c>
      <c r="E107" s="104">
        <v>2.46</v>
      </c>
      <c r="F107" s="273"/>
      <c r="G107" s="106"/>
    </row>
    <row r="108" spans="1:7" s="21" customFormat="1" ht="27.75" customHeight="1">
      <c r="A108" s="69" t="s">
        <v>143</v>
      </c>
      <c r="B108" s="99" t="s">
        <v>17</v>
      </c>
      <c r="C108" s="73">
        <f>C109+C110</f>
        <v>199600</v>
      </c>
      <c r="D108" s="100">
        <f>D109+D110</f>
        <v>232550</v>
      </c>
      <c r="E108" s="103">
        <f>E109+E110</f>
        <v>232542.21</v>
      </c>
      <c r="F108" s="263">
        <f>E108/D108</f>
        <v>0.999966501827564</v>
      </c>
      <c r="G108" s="114"/>
    </row>
    <row r="109" spans="1:7" s="21" customFormat="1" ht="22.5" customHeight="1">
      <c r="A109" s="69"/>
      <c r="B109" s="151" t="s">
        <v>180</v>
      </c>
      <c r="C109" s="77">
        <v>600</v>
      </c>
      <c r="D109" s="101">
        <v>600</v>
      </c>
      <c r="E109" s="104">
        <v>592.21</v>
      </c>
      <c r="F109" s="335"/>
      <c r="G109" s="114"/>
    </row>
    <row r="110" spans="1:7" ht="43.5" customHeight="1">
      <c r="A110" s="75"/>
      <c r="B110" s="151" t="s">
        <v>291</v>
      </c>
      <c r="C110" s="77">
        <v>199000</v>
      </c>
      <c r="D110" s="101">
        <v>231950</v>
      </c>
      <c r="E110" s="104">
        <v>231950</v>
      </c>
      <c r="F110" s="335"/>
      <c r="G110" s="106"/>
    </row>
    <row r="111" spans="1:7" s="21" customFormat="1" ht="29.25" customHeight="1">
      <c r="A111" s="69" t="s">
        <v>144</v>
      </c>
      <c r="B111" s="99" t="s">
        <v>150</v>
      </c>
      <c r="C111" s="73">
        <f>C112+C113+C115+C116</f>
        <v>154428</v>
      </c>
      <c r="D111" s="100">
        <f>D112+D113+D115+D116</f>
        <v>146238</v>
      </c>
      <c r="E111" s="103">
        <f>E112+E113+E115+E116</f>
        <v>150541.13999999998</v>
      </c>
      <c r="F111" s="263">
        <f>E111/D111</f>
        <v>1.0294255938948835</v>
      </c>
      <c r="G111" s="114"/>
    </row>
    <row r="112" spans="1:7" ht="27.75" customHeight="1">
      <c r="A112" s="75"/>
      <c r="B112" s="151" t="s">
        <v>84</v>
      </c>
      <c r="C112" s="77">
        <v>31078</v>
      </c>
      <c r="D112" s="101">
        <v>31078</v>
      </c>
      <c r="E112" s="104">
        <v>35350.13</v>
      </c>
      <c r="F112" s="273"/>
      <c r="G112" s="106"/>
    </row>
    <row r="113" spans="1:7" ht="27.75" customHeight="1">
      <c r="A113" s="90"/>
      <c r="B113" s="153" t="s">
        <v>184</v>
      </c>
      <c r="C113" s="79">
        <v>0</v>
      </c>
      <c r="D113" s="271">
        <v>0</v>
      </c>
      <c r="E113" s="115">
        <v>35.47</v>
      </c>
      <c r="F113" s="274"/>
      <c r="G113" s="106"/>
    </row>
    <row r="114" spans="1:6" s="184" customFormat="1" ht="15.75" customHeight="1">
      <c r="A114" s="152" t="s">
        <v>216</v>
      </c>
      <c r="B114" s="147">
        <v>2</v>
      </c>
      <c r="C114" s="185">
        <v>3</v>
      </c>
      <c r="D114" s="185">
        <v>4</v>
      </c>
      <c r="E114" s="185">
        <v>5</v>
      </c>
      <c r="F114" s="190">
        <v>6</v>
      </c>
    </row>
    <row r="115" spans="1:7" ht="58.5" customHeight="1">
      <c r="A115" s="89"/>
      <c r="B115" s="76" t="s">
        <v>288</v>
      </c>
      <c r="C115" s="101">
        <v>123000</v>
      </c>
      <c r="D115" s="77">
        <v>114810</v>
      </c>
      <c r="E115" s="157">
        <v>114799.8</v>
      </c>
      <c r="F115" s="273"/>
      <c r="G115" s="106"/>
    </row>
    <row r="116" spans="1:7" ht="60.75" customHeight="1">
      <c r="A116" s="89"/>
      <c r="B116" s="318" t="s">
        <v>192</v>
      </c>
      <c r="C116" s="101">
        <v>350</v>
      </c>
      <c r="D116" s="77">
        <v>350</v>
      </c>
      <c r="E116" s="157">
        <v>355.74</v>
      </c>
      <c r="F116" s="273"/>
      <c r="G116" s="106"/>
    </row>
    <row r="117" spans="1:6" s="286" customFormat="1" ht="33.75" customHeight="1">
      <c r="A117" s="316" t="s">
        <v>265</v>
      </c>
      <c r="B117" s="319" t="s">
        <v>266</v>
      </c>
      <c r="C117" s="257">
        <f>C118</f>
        <v>0</v>
      </c>
      <c r="D117" s="301">
        <f>D118</f>
        <v>2129</v>
      </c>
      <c r="E117" s="267">
        <f>E118</f>
        <v>0</v>
      </c>
      <c r="F117" s="263">
        <v>0</v>
      </c>
    </row>
    <row r="118" spans="1:6" s="288" customFormat="1" ht="57.75" customHeight="1">
      <c r="A118" s="317"/>
      <c r="B118" s="320" t="s">
        <v>288</v>
      </c>
      <c r="C118" s="256">
        <v>0</v>
      </c>
      <c r="D118" s="268">
        <v>2129</v>
      </c>
      <c r="E118" s="321">
        <v>0</v>
      </c>
      <c r="F118" s="315"/>
    </row>
    <row r="119" spans="1:8" s="21" customFormat="1" ht="31.5" customHeight="1">
      <c r="A119" s="84" t="s">
        <v>145</v>
      </c>
      <c r="B119" s="70" t="s">
        <v>128</v>
      </c>
      <c r="C119" s="100">
        <f>C120</f>
        <v>64300</v>
      </c>
      <c r="D119" s="73">
        <f>D120</f>
        <v>257100</v>
      </c>
      <c r="E119" s="156">
        <f>E120</f>
        <v>257100</v>
      </c>
      <c r="F119" s="263">
        <f>E119/D119</f>
        <v>1</v>
      </c>
      <c r="G119" s="173"/>
      <c r="H119" s="168"/>
    </row>
    <row r="120" spans="1:7" ht="47.25" customHeight="1">
      <c r="A120" s="85"/>
      <c r="B120" s="86" t="s">
        <v>291</v>
      </c>
      <c r="C120" s="271">
        <v>64300</v>
      </c>
      <c r="D120" s="79">
        <v>257100</v>
      </c>
      <c r="E120" s="158">
        <v>257100</v>
      </c>
      <c r="F120" s="265"/>
      <c r="G120" s="106"/>
    </row>
    <row r="121" spans="1:7" s="21" customFormat="1" ht="33.75" customHeight="1">
      <c r="A121" s="118">
        <v>854</v>
      </c>
      <c r="B121" s="150" t="s">
        <v>41</v>
      </c>
      <c r="C121" s="113">
        <f>C122+C124</f>
        <v>238257</v>
      </c>
      <c r="D121" s="113">
        <f>D122+D124</f>
        <v>350622</v>
      </c>
      <c r="E121" s="155">
        <f>E122+E124</f>
        <v>452520.94</v>
      </c>
      <c r="F121" s="266">
        <f>E121/D121</f>
        <v>1.290623349361991</v>
      </c>
      <c r="G121" s="114"/>
    </row>
    <row r="122" spans="1:7" s="21" customFormat="1" ht="33" customHeight="1">
      <c r="A122" s="69" t="s">
        <v>129</v>
      </c>
      <c r="B122" s="99" t="s">
        <v>42</v>
      </c>
      <c r="C122" s="73">
        <f>C123</f>
        <v>238257</v>
      </c>
      <c r="D122" s="73">
        <f>D123</f>
        <v>238257</v>
      </c>
      <c r="E122" s="156">
        <f>E123</f>
        <v>340155.94</v>
      </c>
      <c r="F122" s="263">
        <f>E122/D122</f>
        <v>1.427684978825386</v>
      </c>
      <c r="G122" s="114"/>
    </row>
    <row r="123" spans="1:7" ht="29.25" customHeight="1">
      <c r="A123" s="75"/>
      <c r="B123" s="151" t="s">
        <v>83</v>
      </c>
      <c r="C123" s="77">
        <v>238257</v>
      </c>
      <c r="D123" s="77">
        <v>238257</v>
      </c>
      <c r="E123" s="157">
        <v>340155.94</v>
      </c>
      <c r="F123" s="263"/>
      <c r="G123" s="106"/>
    </row>
    <row r="124" spans="1:7" s="21" customFormat="1" ht="33.75" customHeight="1">
      <c r="A124" s="69" t="s">
        <v>130</v>
      </c>
      <c r="B124" s="99" t="s">
        <v>131</v>
      </c>
      <c r="C124" s="73">
        <f>C125</f>
        <v>0</v>
      </c>
      <c r="D124" s="73">
        <f>D125</f>
        <v>112365</v>
      </c>
      <c r="E124" s="156">
        <f>E125</f>
        <v>112365</v>
      </c>
      <c r="F124" s="263">
        <f>E124/D124</f>
        <v>1</v>
      </c>
      <c r="G124" s="114"/>
    </row>
    <row r="125" spans="1:7" ht="48" customHeight="1">
      <c r="A125" s="90"/>
      <c r="B125" s="153" t="s">
        <v>291</v>
      </c>
      <c r="C125" s="79">
        <v>0</v>
      </c>
      <c r="D125" s="79">
        <v>112365</v>
      </c>
      <c r="E125" s="158">
        <v>112365</v>
      </c>
      <c r="F125" s="274"/>
      <c r="G125" s="106"/>
    </row>
    <row r="126" spans="1:6" s="184" customFormat="1" ht="15.75" customHeight="1">
      <c r="A126" s="152" t="s">
        <v>216</v>
      </c>
      <c r="B126" s="147">
        <v>2</v>
      </c>
      <c r="C126" s="185">
        <v>3</v>
      </c>
      <c r="D126" s="185">
        <v>4</v>
      </c>
      <c r="E126" s="185">
        <v>5</v>
      </c>
      <c r="F126" s="190">
        <v>6</v>
      </c>
    </row>
    <row r="127" spans="1:7" s="21" customFormat="1" ht="32.25" customHeight="1">
      <c r="A127" s="118">
        <v>900</v>
      </c>
      <c r="B127" s="150" t="s">
        <v>9</v>
      </c>
      <c r="C127" s="113">
        <f>C128+C131+C133+C135+C137</f>
        <v>0</v>
      </c>
      <c r="D127" s="121">
        <f>D128+D131+D133+D135+D137</f>
        <v>1718396</v>
      </c>
      <c r="E127" s="122">
        <f>E128+E131+E133+E135+E137</f>
        <v>1736760.9000000001</v>
      </c>
      <c r="F127" s="266">
        <f>E127/D127</f>
        <v>1.0106872339088313</v>
      </c>
      <c r="G127" s="114"/>
    </row>
    <row r="128" spans="1:7" s="21" customFormat="1" ht="39" customHeight="1">
      <c r="A128" s="69" t="s">
        <v>132</v>
      </c>
      <c r="B128" s="99" t="s">
        <v>43</v>
      </c>
      <c r="C128" s="73">
        <f>C129+C130</f>
        <v>0</v>
      </c>
      <c r="D128" s="100">
        <f>D129+D130</f>
        <v>1562420</v>
      </c>
      <c r="E128" s="103">
        <f>E129+E130</f>
        <v>1562419.52</v>
      </c>
      <c r="F128" s="263">
        <f>E128/D128</f>
        <v>0.9999996927842706</v>
      </c>
      <c r="G128" s="114"/>
    </row>
    <row r="129" spans="1:7" ht="55.5" customHeight="1">
      <c r="A129" s="75"/>
      <c r="B129" s="151" t="s">
        <v>292</v>
      </c>
      <c r="C129" s="77">
        <v>0</v>
      </c>
      <c r="D129" s="101">
        <v>1205441</v>
      </c>
      <c r="E129" s="104">
        <v>1205440.91</v>
      </c>
      <c r="F129" s="264"/>
      <c r="G129" s="106"/>
    </row>
    <row r="130" spans="1:7" ht="60.75" customHeight="1">
      <c r="A130" s="75"/>
      <c r="B130" s="151" t="s">
        <v>284</v>
      </c>
      <c r="C130" s="77">
        <v>0</v>
      </c>
      <c r="D130" s="101">
        <v>356979</v>
      </c>
      <c r="E130" s="104">
        <v>356978.61</v>
      </c>
      <c r="F130" s="264"/>
      <c r="G130" s="106"/>
    </row>
    <row r="131" spans="1:7" s="21" customFormat="1" ht="31.5" customHeight="1">
      <c r="A131" s="69" t="s">
        <v>133</v>
      </c>
      <c r="B131" s="99" t="s">
        <v>134</v>
      </c>
      <c r="C131" s="73">
        <f>C132</f>
        <v>0</v>
      </c>
      <c r="D131" s="100">
        <f>D132</f>
        <v>4726</v>
      </c>
      <c r="E131" s="103">
        <f>E132</f>
        <v>7222.08</v>
      </c>
      <c r="F131" s="263">
        <f>E131/D131</f>
        <v>1.528159119763013</v>
      </c>
      <c r="G131" s="114"/>
    </row>
    <row r="132" spans="1:7" s="25" customFormat="1" ht="28.5" customHeight="1">
      <c r="A132" s="75"/>
      <c r="B132" s="151" t="s">
        <v>232</v>
      </c>
      <c r="C132" s="77">
        <v>0</v>
      </c>
      <c r="D132" s="101">
        <v>4726</v>
      </c>
      <c r="E132" s="104">
        <v>7222.08</v>
      </c>
      <c r="F132" s="263"/>
      <c r="G132" s="106"/>
    </row>
    <row r="133" spans="1:7" s="61" customFormat="1" ht="31.5" customHeight="1">
      <c r="A133" s="69" t="s">
        <v>194</v>
      </c>
      <c r="B133" s="99" t="s">
        <v>195</v>
      </c>
      <c r="C133" s="73">
        <f>C134</f>
        <v>0</v>
      </c>
      <c r="D133" s="100">
        <f>D134</f>
        <v>7790</v>
      </c>
      <c r="E133" s="103">
        <f>E134</f>
        <v>7790</v>
      </c>
      <c r="F133" s="263">
        <f>E133/D133</f>
        <v>1</v>
      </c>
      <c r="G133" s="114"/>
    </row>
    <row r="134" spans="1:7" s="25" customFormat="1" ht="46.5" customHeight="1">
      <c r="A134" s="75"/>
      <c r="B134" s="151" t="s">
        <v>174</v>
      </c>
      <c r="C134" s="77">
        <v>0</v>
      </c>
      <c r="D134" s="101">
        <v>7790</v>
      </c>
      <c r="E134" s="104">
        <v>7790</v>
      </c>
      <c r="F134" s="263"/>
      <c r="G134" s="106"/>
    </row>
    <row r="135" spans="1:7" s="21" customFormat="1" ht="32.25" customHeight="1">
      <c r="A135" s="69" t="s">
        <v>135</v>
      </c>
      <c r="B135" s="99" t="s">
        <v>207</v>
      </c>
      <c r="C135" s="73">
        <f>C136</f>
        <v>0</v>
      </c>
      <c r="D135" s="100">
        <f>D136</f>
        <v>632</v>
      </c>
      <c r="E135" s="103">
        <f>E136</f>
        <v>632</v>
      </c>
      <c r="F135" s="263">
        <f>E135/D135</f>
        <v>1</v>
      </c>
      <c r="G135" s="114"/>
    </row>
    <row r="136" spans="1:7" s="25" customFormat="1" ht="45" customHeight="1">
      <c r="A136" s="75"/>
      <c r="B136" s="151" t="s">
        <v>185</v>
      </c>
      <c r="C136" s="77">
        <v>0</v>
      </c>
      <c r="D136" s="101">
        <v>632</v>
      </c>
      <c r="E136" s="104">
        <v>632</v>
      </c>
      <c r="F136" s="263"/>
      <c r="G136" s="106"/>
    </row>
    <row r="137" spans="1:7" s="61" customFormat="1" ht="33.75" customHeight="1">
      <c r="A137" s="69" t="s">
        <v>173</v>
      </c>
      <c r="B137" s="99" t="s">
        <v>128</v>
      </c>
      <c r="C137" s="73">
        <f>C138</f>
        <v>0</v>
      </c>
      <c r="D137" s="100">
        <f>D138</f>
        <v>142828</v>
      </c>
      <c r="E137" s="103">
        <f>E138</f>
        <v>158697.3</v>
      </c>
      <c r="F137" s="263">
        <f>E137/D137</f>
        <v>1.1111077659842608</v>
      </c>
      <c r="G137" s="114"/>
    </row>
    <row r="138" spans="1:7" s="25" customFormat="1" ht="33.75" customHeight="1">
      <c r="A138" s="90"/>
      <c r="B138" s="153" t="s">
        <v>309</v>
      </c>
      <c r="C138" s="79">
        <v>0</v>
      </c>
      <c r="D138" s="271">
        <f>36828+106000</f>
        <v>142828</v>
      </c>
      <c r="E138" s="115">
        <f>80623+78074.3</f>
        <v>158697.3</v>
      </c>
      <c r="F138" s="274"/>
      <c r="G138" s="106"/>
    </row>
    <row r="139" spans="1:6" s="184" customFormat="1" ht="15.75" customHeight="1">
      <c r="A139" s="152" t="s">
        <v>216</v>
      </c>
      <c r="B139" s="147">
        <v>2</v>
      </c>
      <c r="C139" s="185">
        <v>3</v>
      </c>
      <c r="D139" s="185">
        <v>4</v>
      </c>
      <c r="E139" s="185">
        <v>5</v>
      </c>
      <c r="F139" s="190">
        <v>6</v>
      </c>
    </row>
    <row r="140" spans="1:6" s="322" customFormat="1" ht="36" customHeight="1">
      <c r="A140" s="290" t="s">
        <v>155</v>
      </c>
      <c r="B140" s="325" t="s">
        <v>47</v>
      </c>
      <c r="C140" s="300">
        <f aca="true" t="shared" si="2" ref="C140:E141">C141</f>
        <v>0</v>
      </c>
      <c r="D140" s="300">
        <f t="shared" si="2"/>
        <v>5000</v>
      </c>
      <c r="E140" s="303">
        <f t="shared" si="2"/>
        <v>5000</v>
      </c>
      <c r="F140" s="262">
        <f>E140/D140</f>
        <v>1</v>
      </c>
    </row>
    <row r="141" spans="1:6" s="322" customFormat="1" ht="27" customHeight="1">
      <c r="A141" s="251" t="s">
        <v>293</v>
      </c>
      <c r="B141" s="319" t="s">
        <v>95</v>
      </c>
      <c r="C141" s="301">
        <f t="shared" si="2"/>
        <v>0</v>
      </c>
      <c r="D141" s="301">
        <f t="shared" si="2"/>
        <v>5000</v>
      </c>
      <c r="E141" s="249">
        <f t="shared" si="2"/>
        <v>5000</v>
      </c>
      <c r="F141" s="263">
        <f>E141/D141</f>
        <v>1</v>
      </c>
    </row>
    <row r="142" spans="1:6" s="323" customFormat="1" ht="60" customHeight="1">
      <c r="A142" s="324"/>
      <c r="B142" s="326" t="s">
        <v>294</v>
      </c>
      <c r="C142" s="304">
        <v>0</v>
      </c>
      <c r="D142" s="304">
        <v>5000</v>
      </c>
      <c r="E142" s="328">
        <v>5000</v>
      </c>
      <c r="F142" s="327"/>
    </row>
    <row r="143" spans="1:7" s="21" customFormat="1" ht="33" customHeight="1">
      <c r="A143" s="69">
        <v>926</v>
      </c>
      <c r="B143" s="99" t="s">
        <v>10</v>
      </c>
      <c r="C143" s="73">
        <f>C144+C149</f>
        <v>100020</v>
      </c>
      <c r="D143" s="73">
        <f>D144+D149</f>
        <v>500020</v>
      </c>
      <c r="E143" s="156">
        <f>E144+E149</f>
        <v>516364.02</v>
      </c>
      <c r="F143" s="262">
        <f>E143/D143</f>
        <v>1.0326867325306988</v>
      </c>
      <c r="G143" s="282"/>
    </row>
    <row r="144" spans="1:7" s="21" customFormat="1" ht="35.25" customHeight="1">
      <c r="A144" s="69" t="s">
        <v>136</v>
      </c>
      <c r="B144" s="99" t="s">
        <v>50</v>
      </c>
      <c r="C144" s="73">
        <f>C145+C146+C147+C148</f>
        <v>100020</v>
      </c>
      <c r="D144" s="73">
        <f>D145+D146+D147+D148</f>
        <v>100020</v>
      </c>
      <c r="E144" s="156">
        <f>E145+E146+E147+E148</f>
        <v>116364.01999999999</v>
      </c>
      <c r="F144" s="263">
        <f>E144/D144</f>
        <v>1.1634075184963006</v>
      </c>
      <c r="G144" s="282"/>
    </row>
    <row r="145" spans="1:7" ht="33" customHeight="1">
      <c r="A145" s="75"/>
      <c r="B145" s="123" t="s">
        <v>186</v>
      </c>
      <c r="C145" s="77">
        <v>17500</v>
      </c>
      <c r="D145" s="77">
        <v>17500</v>
      </c>
      <c r="E145" s="157">
        <v>15005.32</v>
      </c>
      <c r="F145" s="264"/>
      <c r="G145" s="331"/>
    </row>
    <row r="146" spans="1:7" ht="45" customHeight="1">
      <c r="A146" s="75"/>
      <c r="B146" s="123" t="s">
        <v>187</v>
      </c>
      <c r="C146" s="77">
        <v>80120</v>
      </c>
      <c r="D146" s="77">
        <v>80120</v>
      </c>
      <c r="E146" s="157">
        <v>99860.7</v>
      </c>
      <c r="F146" s="264"/>
      <c r="G146" s="331"/>
    </row>
    <row r="147" spans="1:7" ht="32.25" customHeight="1">
      <c r="A147" s="75"/>
      <c r="B147" s="125" t="s">
        <v>179</v>
      </c>
      <c r="C147" s="77">
        <v>400</v>
      </c>
      <c r="D147" s="77">
        <v>400</v>
      </c>
      <c r="E147" s="157">
        <v>186.33</v>
      </c>
      <c r="F147" s="264"/>
      <c r="G147" s="331"/>
    </row>
    <row r="148" spans="1:7" ht="35.25" customHeight="1">
      <c r="A148" s="75"/>
      <c r="B148" s="125" t="s">
        <v>182</v>
      </c>
      <c r="C148" s="77">
        <v>2000</v>
      </c>
      <c r="D148" s="77">
        <v>2000</v>
      </c>
      <c r="E148" s="157">
        <v>1311.67</v>
      </c>
      <c r="F148" s="264"/>
      <c r="G148" s="331"/>
    </row>
    <row r="149" spans="1:7" s="61" customFormat="1" ht="30.75" customHeight="1">
      <c r="A149" s="69" t="s">
        <v>196</v>
      </c>
      <c r="B149" s="162" t="s">
        <v>197</v>
      </c>
      <c r="C149" s="73">
        <f>C150</f>
        <v>0</v>
      </c>
      <c r="D149" s="73">
        <f>D150</f>
        <v>400000</v>
      </c>
      <c r="E149" s="156">
        <f>E150</f>
        <v>400000</v>
      </c>
      <c r="F149" s="263">
        <f>E149/D149</f>
        <v>1</v>
      </c>
      <c r="G149" s="282"/>
    </row>
    <row r="150" spans="1:7" ht="60" customHeight="1">
      <c r="A150" s="75"/>
      <c r="B150" s="149" t="s">
        <v>198</v>
      </c>
      <c r="C150" s="77">
        <v>0</v>
      </c>
      <c r="D150" s="77">
        <v>400000</v>
      </c>
      <c r="E150" s="157">
        <v>400000</v>
      </c>
      <c r="F150" s="264"/>
      <c r="G150" s="331"/>
    </row>
    <row r="151" spans="1:7" s="140" customFormat="1" ht="27" customHeight="1">
      <c r="A151" s="496" t="s">
        <v>268</v>
      </c>
      <c r="B151" s="497"/>
      <c r="C151" s="143">
        <f>C6+C9+C14+C22+C26+C33+C39+C74+C79+C96+C121+C127+C140+C143</f>
        <v>33442577</v>
      </c>
      <c r="D151" s="163">
        <f>D6+D9+D14+D22+D26+D33+D39+D74+D79+D96+D121+D127+D140+D143</f>
        <v>34855130</v>
      </c>
      <c r="E151" s="160">
        <f>E6+E9+E14+E22+E26+E33+E39+E74+E79+E96+E121+E127+E140+E143</f>
        <v>35821266.910000004</v>
      </c>
      <c r="F151" s="431">
        <f>E151/D151</f>
        <v>1.0277186431380403</v>
      </c>
      <c r="G151" s="141"/>
    </row>
    <row r="152" spans="1:7" ht="14.25">
      <c r="A152" s="106"/>
      <c r="B152" s="106"/>
      <c r="C152" s="107"/>
      <c r="D152" s="107"/>
      <c r="E152" s="107"/>
      <c r="F152" s="276"/>
      <c r="G152" s="106"/>
    </row>
    <row r="153" spans="1:7" ht="14.25">
      <c r="A153" s="106"/>
      <c r="B153" s="106"/>
      <c r="C153" s="107"/>
      <c r="D153" s="106"/>
      <c r="E153" s="106"/>
      <c r="F153" s="276"/>
      <c r="G153" s="106"/>
    </row>
    <row r="154" spans="1:7" ht="14.25">
      <c r="A154" s="106"/>
      <c r="B154" s="106"/>
      <c r="C154" s="107"/>
      <c r="D154" s="107"/>
      <c r="E154" s="107"/>
      <c r="F154" s="276"/>
      <c r="G154" s="106"/>
    </row>
    <row r="155" spans="1:7" ht="14.25">
      <c r="A155" s="106"/>
      <c r="B155" s="106"/>
      <c r="C155" s="107"/>
      <c r="D155" s="106"/>
      <c r="E155" s="106"/>
      <c r="F155" s="276"/>
      <c r="G155" s="106"/>
    </row>
    <row r="156" spans="1:7" ht="14.25">
      <c r="A156" s="106"/>
      <c r="B156" s="106"/>
      <c r="C156" s="107"/>
      <c r="D156" s="106"/>
      <c r="E156" s="106"/>
      <c r="F156" s="276"/>
      <c r="G156" s="106"/>
    </row>
    <row r="157" spans="1:7" ht="14.25">
      <c r="A157" s="106"/>
      <c r="B157" s="106"/>
      <c r="C157" s="107"/>
      <c r="D157" s="106"/>
      <c r="E157" s="106"/>
      <c r="F157" s="276"/>
      <c r="G157" s="106"/>
    </row>
    <row r="158" spans="1:7" ht="14.25">
      <c r="A158" s="106"/>
      <c r="B158" s="106"/>
      <c r="C158" s="107"/>
      <c r="D158" s="106"/>
      <c r="E158" s="106"/>
      <c r="F158" s="276"/>
      <c r="G158" s="106"/>
    </row>
    <row r="159" ht="12.75">
      <c r="F159" s="277"/>
    </row>
    <row r="160" ht="12.75">
      <c r="F160" s="277"/>
    </row>
    <row r="161" ht="12.75">
      <c r="F161" s="277"/>
    </row>
    <row r="162" ht="12.75">
      <c r="F162" s="277"/>
    </row>
    <row r="163" ht="12.75">
      <c r="F163" s="277"/>
    </row>
    <row r="164" ht="12.75">
      <c r="F164" s="277"/>
    </row>
    <row r="165" ht="12.75">
      <c r="F165" s="277"/>
    </row>
    <row r="166" ht="12.75">
      <c r="F166" s="277"/>
    </row>
  </sheetData>
  <mergeCells count="8">
    <mergeCell ref="A1:F1"/>
    <mergeCell ref="A151:B151"/>
    <mergeCell ref="A3:A4"/>
    <mergeCell ref="A2:F2"/>
    <mergeCell ref="B3:B4"/>
    <mergeCell ref="C3:C4"/>
    <mergeCell ref="D3:D4"/>
    <mergeCell ref="E3:F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B15" sqref="B15"/>
    </sheetView>
  </sheetViews>
  <sheetFormatPr defaultColWidth="9.00390625" defaultRowHeight="12.75"/>
  <cols>
    <col min="1" max="1" width="11.25390625" style="0" customWidth="1"/>
    <col min="2" max="2" width="44.875" style="0" customWidth="1"/>
    <col min="3" max="3" width="9.75390625" style="0" customWidth="1"/>
    <col min="4" max="4" width="11.25390625" style="0" customWidth="1"/>
    <col min="5" max="5" width="9.375" style="0" customWidth="1"/>
    <col min="6" max="6" width="11.375" style="0" customWidth="1"/>
    <col min="7" max="7" width="32.875" style="0" customWidth="1"/>
  </cols>
  <sheetData>
    <row r="1" spans="1:7" ht="15" customHeight="1">
      <c r="A1" s="492" t="s">
        <v>396</v>
      </c>
      <c r="B1" s="492"/>
      <c r="C1" s="492"/>
      <c r="D1" s="492"/>
      <c r="E1" s="492"/>
      <c r="F1" s="492"/>
      <c r="G1" s="492"/>
    </row>
    <row r="2" spans="1:7" ht="42.75" customHeight="1">
      <c r="A2" s="486" t="s">
        <v>398</v>
      </c>
      <c r="B2" s="486"/>
      <c r="C2" s="486"/>
      <c r="D2" s="486"/>
      <c r="E2" s="486"/>
      <c r="F2" s="486"/>
      <c r="G2" s="486"/>
    </row>
    <row r="3" spans="1:7" ht="26.25" customHeight="1">
      <c r="A3" s="536" t="s">
        <v>52</v>
      </c>
      <c r="B3" s="530" t="s">
        <v>0</v>
      </c>
      <c r="C3" s="533" t="s">
        <v>373</v>
      </c>
      <c r="D3" s="534"/>
      <c r="E3" s="533" t="s">
        <v>374</v>
      </c>
      <c r="F3" s="534"/>
      <c r="G3" s="554" t="s">
        <v>375</v>
      </c>
    </row>
    <row r="4" spans="1:7" ht="25.5" customHeight="1">
      <c r="A4" s="553"/>
      <c r="B4" s="531"/>
      <c r="C4" s="35" t="s">
        <v>376</v>
      </c>
      <c r="D4" s="35" t="s">
        <v>270</v>
      </c>
      <c r="E4" s="35" t="s">
        <v>376</v>
      </c>
      <c r="F4" s="35" t="s">
        <v>270</v>
      </c>
      <c r="G4" s="555"/>
    </row>
    <row r="5" spans="1:7" s="21" customFormat="1" ht="33" customHeight="1">
      <c r="A5" s="441" t="s">
        <v>285</v>
      </c>
      <c r="B5" s="442" t="s">
        <v>24</v>
      </c>
      <c r="C5" s="443">
        <f>C6</f>
        <v>10000</v>
      </c>
      <c r="D5" s="444">
        <f>D6</f>
        <v>10000</v>
      </c>
      <c r="E5" s="443">
        <f>E6</f>
        <v>10000</v>
      </c>
      <c r="F5" s="444">
        <f>F6</f>
        <v>10000</v>
      </c>
      <c r="G5" s="550" t="s">
        <v>397</v>
      </c>
    </row>
    <row r="6" spans="1:7" s="20" customFormat="1" ht="33" customHeight="1">
      <c r="A6" s="445" t="s">
        <v>286</v>
      </c>
      <c r="B6" s="446" t="s">
        <v>26</v>
      </c>
      <c r="C6" s="447">
        <v>10000</v>
      </c>
      <c r="D6" s="448">
        <v>10000</v>
      </c>
      <c r="E6" s="447">
        <v>10000</v>
      </c>
      <c r="F6" s="448">
        <v>10000</v>
      </c>
      <c r="G6" s="551"/>
    </row>
    <row r="7" spans="1:7" ht="33" customHeight="1">
      <c r="A7" s="449"/>
      <c r="B7" s="450" t="s">
        <v>377</v>
      </c>
      <c r="C7" s="451">
        <f>C5</f>
        <v>10000</v>
      </c>
      <c r="D7" s="452">
        <f>D5</f>
        <v>10000</v>
      </c>
      <c r="E7" s="451">
        <f>E5</f>
        <v>10000</v>
      </c>
      <c r="F7" s="452">
        <f>F5</f>
        <v>10000</v>
      </c>
      <c r="G7" s="552"/>
    </row>
  </sheetData>
  <mergeCells count="8">
    <mergeCell ref="G5:G7"/>
    <mergeCell ref="A1:G1"/>
    <mergeCell ref="A2:G2"/>
    <mergeCell ref="A3:A4"/>
    <mergeCell ref="B3:B4"/>
    <mergeCell ref="C3:D3"/>
    <mergeCell ref="E3:F3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12" sqref="B12"/>
    </sheetView>
  </sheetViews>
  <sheetFormatPr defaultColWidth="9.00390625" defaultRowHeight="12.75"/>
  <cols>
    <col min="1" max="1" width="10.25390625" style="0" customWidth="1"/>
    <col min="2" max="2" width="42.00390625" style="0" customWidth="1"/>
    <col min="3" max="3" width="19.375" style="0" customWidth="1"/>
    <col min="4" max="4" width="19.375" style="18" customWidth="1"/>
    <col min="5" max="6" width="19.375" style="0" customWidth="1"/>
  </cols>
  <sheetData>
    <row r="1" spans="1:6" ht="16.5" customHeight="1">
      <c r="A1" s="509" t="s">
        <v>368</v>
      </c>
      <c r="B1" s="509"/>
      <c r="C1" s="509"/>
      <c r="D1" s="509"/>
      <c r="E1" s="509"/>
      <c r="F1" s="509"/>
    </row>
    <row r="2" spans="1:6" ht="28.5" customHeight="1">
      <c r="A2" s="556" t="s">
        <v>351</v>
      </c>
      <c r="B2" s="556"/>
      <c r="C2" s="556"/>
      <c r="D2" s="556"/>
      <c r="E2" s="556"/>
      <c r="F2" s="556"/>
    </row>
    <row r="3" spans="1:6" ht="29.25" customHeight="1">
      <c r="A3" s="560" t="s">
        <v>317</v>
      </c>
      <c r="B3" s="560" t="s">
        <v>318</v>
      </c>
      <c r="C3" s="559" t="s">
        <v>329</v>
      </c>
      <c r="D3" s="559"/>
      <c r="E3" s="559" t="s">
        <v>330</v>
      </c>
      <c r="F3" s="559"/>
    </row>
    <row r="4" spans="1:6" ht="42.75" customHeight="1">
      <c r="A4" s="560"/>
      <c r="B4" s="560"/>
      <c r="C4" s="399" t="s">
        <v>342</v>
      </c>
      <c r="D4" s="402" t="s">
        <v>343</v>
      </c>
      <c r="E4" s="399" t="s">
        <v>344</v>
      </c>
      <c r="F4" s="402" t="s">
        <v>343</v>
      </c>
    </row>
    <row r="5" spans="1:6" ht="18.75" customHeight="1">
      <c r="A5" s="400" t="s">
        <v>319</v>
      </c>
      <c r="B5" s="401" t="s">
        <v>331</v>
      </c>
      <c r="C5" s="404">
        <v>332</v>
      </c>
      <c r="D5" s="405">
        <v>332</v>
      </c>
      <c r="E5" s="406">
        <v>969540.99</v>
      </c>
      <c r="F5" s="406">
        <v>159222.83</v>
      </c>
    </row>
    <row r="6" spans="1:6" ht="18.75" customHeight="1">
      <c r="A6" s="400" t="s">
        <v>320</v>
      </c>
      <c r="B6" s="401" t="s">
        <v>276</v>
      </c>
      <c r="C6" s="404">
        <v>228.97</v>
      </c>
      <c r="D6" s="406">
        <v>228.97</v>
      </c>
      <c r="E6" s="406">
        <v>1256.7</v>
      </c>
      <c r="F6" s="406">
        <v>1256.7</v>
      </c>
    </row>
    <row r="7" spans="1:6" ht="18.75" customHeight="1">
      <c r="A7" s="400" t="s">
        <v>321</v>
      </c>
      <c r="B7" s="401" t="s">
        <v>277</v>
      </c>
      <c r="C7" s="404"/>
      <c r="D7" s="406"/>
      <c r="E7" s="406">
        <v>139.5</v>
      </c>
      <c r="F7" s="406">
        <v>139.5</v>
      </c>
    </row>
    <row r="8" spans="1:6" ht="18.75" customHeight="1">
      <c r="A8" s="400" t="s">
        <v>322</v>
      </c>
      <c r="B8" s="401" t="s">
        <v>278</v>
      </c>
      <c r="C8" s="404"/>
      <c r="D8" s="406"/>
      <c r="E8" s="406">
        <v>152.7</v>
      </c>
      <c r="F8" s="406">
        <v>152.7</v>
      </c>
    </row>
    <row r="9" spans="1:6" ht="18.75" customHeight="1">
      <c r="A9" s="400" t="s">
        <v>323</v>
      </c>
      <c r="B9" s="401" t="s">
        <v>279</v>
      </c>
      <c r="C9" s="404"/>
      <c r="D9" s="406"/>
      <c r="E9" s="406">
        <v>152.31</v>
      </c>
      <c r="F9" s="406">
        <v>152.31</v>
      </c>
    </row>
    <row r="10" spans="1:6" ht="18.75" customHeight="1">
      <c r="A10" s="400" t="s">
        <v>324</v>
      </c>
      <c r="B10" s="401" t="s">
        <v>280</v>
      </c>
      <c r="C10" s="404"/>
      <c r="D10" s="406"/>
      <c r="E10" s="406">
        <v>90</v>
      </c>
      <c r="F10" s="406">
        <v>90</v>
      </c>
    </row>
    <row r="11" spans="1:6" ht="18.75" customHeight="1">
      <c r="A11" s="400" t="s">
        <v>325</v>
      </c>
      <c r="B11" s="401" t="s">
        <v>274</v>
      </c>
      <c r="C11" s="404"/>
      <c r="D11" s="406"/>
      <c r="E11" s="406"/>
      <c r="F11" s="406"/>
    </row>
    <row r="12" spans="1:6" ht="18.75" customHeight="1">
      <c r="A12" s="400" t="s">
        <v>326</v>
      </c>
      <c r="B12" s="401" t="s">
        <v>275</v>
      </c>
      <c r="C12" s="404"/>
      <c r="D12" s="406"/>
      <c r="E12" s="406">
        <v>60.8</v>
      </c>
      <c r="F12" s="406">
        <v>60.8</v>
      </c>
    </row>
    <row r="13" spans="1:6" ht="18.75" customHeight="1">
      <c r="A13" s="400" t="s">
        <v>327</v>
      </c>
      <c r="B13" s="401" t="s">
        <v>271</v>
      </c>
      <c r="C13" s="404"/>
      <c r="D13" s="406"/>
      <c r="E13" s="406"/>
      <c r="F13" s="406"/>
    </row>
    <row r="14" spans="1:6" ht="18.75" customHeight="1">
      <c r="A14" s="400" t="s">
        <v>328</v>
      </c>
      <c r="B14" s="401" t="s">
        <v>272</v>
      </c>
      <c r="C14" s="404"/>
      <c r="D14" s="406"/>
      <c r="E14" s="406"/>
      <c r="F14" s="406"/>
    </row>
    <row r="15" spans="1:6" ht="18.75" customHeight="1">
      <c r="A15" s="400" t="s">
        <v>335</v>
      </c>
      <c r="B15" s="401" t="s">
        <v>273</v>
      </c>
      <c r="C15" s="404"/>
      <c r="D15" s="406"/>
      <c r="E15" s="406"/>
      <c r="F15" s="406"/>
    </row>
    <row r="16" spans="1:6" ht="18.75" customHeight="1">
      <c r="A16" s="400" t="s">
        <v>336</v>
      </c>
      <c r="B16" s="401" t="s">
        <v>332</v>
      </c>
      <c r="C16" s="404"/>
      <c r="D16" s="406"/>
      <c r="E16" s="406"/>
      <c r="F16" s="406"/>
    </row>
    <row r="17" spans="1:6" ht="18.75" customHeight="1">
      <c r="A17" s="400" t="s">
        <v>337</v>
      </c>
      <c r="B17" s="401" t="s">
        <v>333</v>
      </c>
      <c r="C17" s="404">
        <v>65</v>
      </c>
      <c r="D17" s="406">
        <v>65</v>
      </c>
      <c r="E17" s="406">
        <v>462</v>
      </c>
      <c r="F17" s="406">
        <v>462</v>
      </c>
    </row>
    <row r="18" spans="1:6" ht="18.75" customHeight="1">
      <c r="A18" s="400" t="s">
        <v>338</v>
      </c>
      <c r="B18" s="401" t="s">
        <v>65</v>
      </c>
      <c r="C18" s="404">
        <v>136364.05</v>
      </c>
      <c r="D18" s="406">
        <v>136364.05</v>
      </c>
      <c r="E18" s="406">
        <v>73927.69</v>
      </c>
      <c r="F18" s="406">
        <v>73927.69</v>
      </c>
    </row>
    <row r="19" spans="1:6" ht="18.75" customHeight="1">
      <c r="A19" s="400" t="s">
        <v>339</v>
      </c>
      <c r="B19" s="401" t="s">
        <v>64</v>
      </c>
      <c r="C19" s="404">
        <v>8985.13</v>
      </c>
      <c r="D19" s="406">
        <v>8985.13</v>
      </c>
      <c r="E19" s="406">
        <v>99797.57</v>
      </c>
      <c r="F19" s="406">
        <v>99797.57</v>
      </c>
    </row>
    <row r="20" spans="1:6" ht="18.75" customHeight="1">
      <c r="A20" s="400" t="s">
        <v>340</v>
      </c>
      <c r="B20" s="401" t="s">
        <v>334</v>
      </c>
      <c r="C20" s="404">
        <v>242526.68</v>
      </c>
      <c r="D20" s="406">
        <v>242526.68</v>
      </c>
      <c r="E20" s="406">
        <v>290188.11</v>
      </c>
      <c r="F20" s="406">
        <v>290188.11</v>
      </c>
    </row>
    <row r="21" spans="1:6" ht="18.75" customHeight="1">
      <c r="A21" s="400" t="s">
        <v>341</v>
      </c>
      <c r="B21" s="401" t="s">
        <v>63</v>
      </c>
      <c r="C21" s="404">
        <v>6506.35</v>
      </c>
      <c r="D21" s="406">
        <v>6506.35</v>
      </c>
      <c r="E21" s="406">
        <v>143582.38</v>
      </c>
      <c r="F21" s="406">
        <v>143582.38</v>
      </c>
    </row>
    <row r="22" spans="1:6" s="21" customFormat="1" ht="24" customHeight="1">
      <c r="A22" s="557" t="s">
        <v>352</v>
      </c>
      <c r="B22" s="558"/>
      <c r="C22" s="403">
        <f>C5+C6+C7+C8+C9+C10+C11+C12+C13+C14+C15+C16+C17+C18+C19+C20+C21</f>
        <v>395008.17999999993</v>
      </c>
      <c r="D22" s="407">
        <f>D5+D6+D7+D8+D9+D10+D11+D12+D13+D14+D15+D16+D17+D18+D19+D20+D21</f>
        <v>395008.17999999993</v>
      </c>
      <c r="E22" s="407">
        <f>E5+E6+E7+E8+E9+E10+E11+E12+E13+E14+E15+E16+E17+E18+E19+E20+E21</f>
        <v>1579350.75</v>
      </c>
      <c r="F22" s="407">
        <f>F5+F6+F7+F8+F9+F10+F11+F12+F13+F14+F15+F16+F17+F18+F19+F20+F21</f>
        <v>769032.59</v>
      </c>
    </row>
    <row r="23" spans="1:6" ht="14.25">
      <c r="A23" s="288"/>
      <c r="B23" s="288"/>
      <c r="C23" s="288"/>
      <c r="D23" s="408"/>
      <c r="E23" s="408"/>
      <c r="F23" s="408"/>
    </row>
  </sheetData>
  <mergeCells count="7">
    <mergeCell ref="A1:F1"/>
    <mergeCell ref="A2:F2"/>
    <mergeCell ref="A22:B22"/>
    <mergeCell ref="C3:D3"/>
    <mergeCell ref="E3:F3"/>
    <mergeCell ref="A3:A4"/>
    <mergeCell ref="B3:B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workbookViewId="0" topLeftCell="A1">
      <selection activeCell="D132" sqref="D132"/>
    </sheetView>
  </sheetViews>
  <sheetFormatPr defaultColWidth="9.00390625" defaultRowHeight="12.75"/>
  <cols>
    <col min="1" max="1" width="13.25390625" style="0" customWidth="1"/>
    <col min="2" max="2" width="48.375" style="0" customWidth="1"/>
    <col min="3" max="3" width="17.00390625" style="0" customWidth="1"/>
    <col min="4" max="5" width="17.00390625" style="15" customWidth="1"/>
    <col min="6" max="6" width="13.25390625" style="15" customWidth="1"/>
  </cols>
  <sheetData>
    <row r="1" spans="1:6" ht="12.75">
      <c r="A1" s="509" t="s">
        <v>219</v>
      </c>
      <c r="B1" s="509"/>
      <c r="C1" s="509"/>
      <c r="D1" s="509"/>
      <c r="E1" s="509"/>
      <c r="F1" s="509"/>
    </row>
    <row r="2" spans="1:6" ht="33" customHeight="1">
      <c r="A2" s="512" t="s">
        <v>345</v>
      </c>
      <c r="B2" s="512"/>
      <c r="C2" s="512"/>
      <c r="D2" s="512"/>
      <c r="E2" s="512"/>
      <c r="F2" s="512"/>
    </row>
    <row r="3" spans="1:7" ht="19.5" customHeight="1">
      <c r="A3" s="498" t="s">
        <v>52</v>
      </c>
      <c r="B3" s="515" t="s">
        <v>0</v>
      </c>
      <c r="C3" s="498" t="s">
        <v>104</v>
      </c>
      <c r="D3" s="505" t="s">
        <v>100</v>
      </c>
      <c r="E3" s="513" t="s">
        <v>101</v>
      </c>
      <c r="F3" s="514"/>
      <c r="G3" s="26"/>
    </row>
    <row r="4" spans="1:7" ht="18" customHeight="1">
      <c r="A4" s="499"/>
      <c r="B4" s="516"/>
      <c r="C4" s="499"/>
      <c r="D4" s="506"/>
      <c r="E4" s="62" t="s">
        <v>11</v>
      </c>
      <c r="F4" s="62" t="s">
        <v>103</v>
      </c>
      <c r="G4" s="26"/>
    </row>
    <row r="5" spans="1:6" s="8" customFormat="1" ht="13.5" customHeight="1">
      <c r="A5" s="148">
        <v>1</v>
      </c>
      <c r="B5" s="183" t="s">
        <v>215</v>
      </c>
      <c r="C5" s="148">
        <v>3</v>
      </c>
      <c r="D5" s="147">
        <v>4</v>
      </c>
      <c r="E5" s="147">
        <v>5</v>
      </c>
      <c r="F5" s="147">
        <v>6</v>
      </c>
    </row>
    <row r="6" spans="1:7" ht="18.75" customHeight="1">
      <c r="A6" s="75" t="s">
        <v>53</v>
      </c>
      <c r="B6" s="76" t="s">
        <v>233</v>
      </c>
      <c r="C6" s="65">
        <f>C7+C9</f>
        <v>32100</v>
      </c>
      <c r="D6" s="77">
        <f>D7+D9</f>
        <v>33682</v>
      </c>
      <c r="E6" s="104">
        <f>E7+E9</f>
        <v>24458.819999999996</v>
      </c>
      <c r="F6" s="260">
        <f>E6/D6</f>
        <v>0.7261688735823287</v>
      </c>
      <c r="G6" s="26"/>
    </row>
    <row r="7" spans="1:7" s="21" customFormat="1" ht="21.75" customHeight="1">
      <c r="A7" s="69" t="s">
        <v>54</v>
      </c>
      <c r="B7" s="70" t="s">
        <v>19</v>
      </c>
      <c r="C7" s="71">
        <f>C8</f>
        <v>3600</v>
      </c>
      <c r="D7" s="73">
        <f>D8</f>
        <v>3600</v>
      </c>
      <c r="E7" s="103">
        <f>E8</f>
        <v>2427.53</v>
      </c>
      <c r="F7" s="332">
        <f>E7/D7</f>
        <v>0.674313888888889</v>
      </c>
      <c r="G7" s="61"/>
    </row>
    <row r="8" spans="1:7" ht="18" customHeight="1">
      <c r="A8" s="75"/>
      <c r="B8" s="76" t="s">
        <v>16</v>
      </c>
      <c r="C8" s="65">
        <v>3600</v>
      </c>
      <c r="D8" s="77">
        <v>3600</v>
      </c>
      <c r="E8" s="104">
        <v>2427.53</v>
      </c>
      <c r="F8" s="332"/>
      <c r="G8" s="26"/>
    </row>
    <row r="9" spans="1:7" ht="21.75" customHeight="1">
      <c r="A9" s="69" t="s">
        <v>55</v>
      </c>
      <c r="B9" s="70" t="s">
        <v>20</v>
      </c>
      <c r="C9" s="71">
        <f>C10</f>
        <v>28500</v>
      </c>
      <c r="D9" s="73">
        <f>D10</f>
        <v>30082</v>
      </c>
      <c r="E9" s="103">
        <f>E10</f>
        <v>22031.289999999997</v>
      </c>
      <c r="F9" s="332">
        <f>E9/D9</f>
        <v>0.7323745096735589</v>
      </c>
      <c r="G9" s="26"/>
    </row>
    <row r="10" spans="1:7" ht="18" customHeight="1">
      <c r="A10" s="75"/>
      <c r="B10" s="76" t="s">
        <v>16</v>
      </c>
      <c r="C10" s="65">
        <f>10500+18000</f>
        <v>28500</v>
      </c>
      <c r="D10" s="79">
        <f>10500+18031+1551</f>
        <v>30082</v>
      </c>
      <c r="E10" s="115">
        <f>7905.11+12576.58+1549.6</f>
        <v>22031.289999999997</v>
      </c>
      <c r="F10" s="261"/>
      <c r="G10" s="26"/>
    </row>
    <row r="11" spans="1:7" ht="33" customHeight="1">
      <c r="A11" s="63" t="s">
        <v>88</v>
      </c>
      <c r="B11" s="64" t="s">
        <v>172</v>
      </c>
      <c r="C11" s="82">
        <f aca="true" t="shared" si="0" ref="C11:E12">C12</f>
        <v>455000</v>
      </c>
      <c r="D11" s="67">
        <f t="shared" si="0"/>
        <v>10000</v>
      </c>
      <c r="E11" s="102">
        <f t="shared" si="0"/>
        <v>9870</v>
      </c>
      <c r="F11" s="329">
        <f>E11/D11</f>
        <v>0.987</v>
      </c>
      <c r="G11" s="26"/>
    </row>
    <row r="12" spans="1:7" s="21" customFormat="1" ht="21.75" customHeight="1">
      <c r="A12" s="69" t="s">
        <v>89</v>
      </c>
      <c r="B12" s="70" t="s">
        <v>90</v>
      </c>
      <c r="C12" s="71">
        <f t="shared" si="0"/>
        <v>455000</v>
      </c>
      <c r="D12" s="73">
        <f t="shared" si="0"/>
        <v>10000</v>
      </c>
      <c r="E12" s="103">
        <f t="shared" si="0"/>
        <v>9870</v>
      </c>
      <c r="F12" s="332">
        <f>E12/D12</f>
        <v>0.987</v>
      </c>
      <c r="G12" s="61"/>
    </row>
    <row r="13" spans="1:7" ht="18.75" customHeight="1">
      <c r="A13" s="90"/>
      <c r="B13" s="86" t="s">
        <v>18</v>
      </c>
      <c r="C13" s="87">
        <f>150000+228750+76250</f>
        <v>455000</v>
      </c>
      <c r="D13" s="79">
        <v>10000</v>
      </c>
      <c r="E13" s="115">
        <v>9870</v>
      </c>
      <c r="F13" s="261"/>
      <c r="G13" s="26"/>
    </row>
    <row r="14" spans="1:7" ht="21" customHeight="1">
      <c r="A14" s="75">
        <v>600</v>
      </c>
      <c r="B14" s="76" t="s">
        <v>21</v>
      </c>
      <c r="C14" s="65">
        <f>C15+C18</f>
        <v>989000</v>
      </c>
      <c r="D14" s="67">
        <f>D15+D18</f>
        <v>1399377</v>
      </c>
      <c r="E14" s="102">
        <f>E15+E18</f>
        <v>1387722.12</v>
      </c>
      <c r="F14" s="329">
        <f>E14/D14</f>
        <v>0.9916713794781535</v>
      </c>
      <c r="G14" s="26"/>
    </row>
    <row r="15" spans="1:7" s="21" customFormat="1" ht="21" customHeight="1">
      <c r="A15" s="69">
        <v>60016</v>
      </c>
      <c r="B15" s="70" t="s">
        <v>22</v>
      </c>
      <c r="C15" s="71">
        <f>C16+C17</f>
        <v>985000</v>
      </c>
      <c r="D15" s="73">
        <f>D16+D17</f>
        <v>1395377</v>
      </c>
      <c r="E15" s="103">
        <f>E16+E17</f>
        <v>1384857.09</v>
      </c>
      <c r="F15" s="332">
        <f>E15/D15</f>
        <v>0.9924608833311714</v>
      </c>
      <c r="G15" s="61"/>
    </row>
    <row r="16" spans="1:7" ht="17.25" customHeight="1">
      <c r="A16" s="75"/>
      <c r="B16" s="76" t="s">
        <v>16</v>
      </c>
      <c r="C16" s="65">
        <f>928458+44542+12000</f>
        <v>985000</v>
      </c>
      <c r="D16" s="77">
        <f>1300+1190935+21042+11500</f>
        <v>1224777</v>
      </c>
      <c r="E16" s="104">
        <f>1251.35+1180642.43+21013.31+11382</f>
        <v>1214289.09</v>
      </c>
      <c r="F16" s="332"/>
      <c r="G16" s="26"/>
    </row>
    <row r="17" spans="1:7" ht="21" customHeight="1">
      <c r="A17" s="75"/>
      <c r="B17" s="76" t="s">
        <v>56</v>
      </c>
      <c r="C17" s="65">
        <v>0</v>
      </c>
      <c r="D17" s="77">
        <v>170600</v>
      </c>
      <c r="E17" s="104">
        <v>170568</v>
      </c>
      <c r="F17" s="332"/>
      <c r="G17" s="26"/>
    </row>
    <row r="18" spans="1:7" s="21" customFormat="1" ht="21" customHeight="1">
      <c r="A18" s="69">
        <v>60095</v>
      </c>
      <c r="B18" s="70" t="s">
        <v>20</v>
      </c>
      <c r="C18" s="71">
        <f>C19</f>
        <v>4000</v>
      </c>
      <c r="D18" s="73">
        <f>D19</f>
        <v>4000</v>
      </c>
      <c r="E18" s="103">
        <f>E19</f>
        <v>2865.03</v>
      </c>
      <c r="F18" s="332">
        <f>E18/D18</f>
        <v>0.7162575000000001</v>
      </c>
      <c r="G18" s="61"/>
    </row>
    <row r="19" spans="1:7" ht="17.25" customHeight="1">
      <c r="A19" s="252"/>
      <c r="B19" s="86" t="s">
        <v>16</v>
      </c>
      <c r="C19" s="65">
        <v>4000</v>
      </c>
      <c r="D19" s="77">
        <v>4000</v>
      </c>
      <c r="E19" s="104">
        <v>2865.03</v>
      </c>
      <c r="F19" s="259"/>
      <c r="G19" s="26"/>
    </row>
    <row r="20" spans="1:7" ht="21" customHeight="1">
      <c r="A20" s="63">
        <v>700</v>
      </c>
      <c r="B20" s="64" t="s">
        <v>1</v>
      </c>
      <c r="C20" s="82">
        <f>C21</f>
        <v>1047427</v>
      </c>
      <c r="D20" s="67">
        <f>D21</f>
        <v>1150101</v>
      </c>
      <c r="E20" s="102">
        <f>E21</f>
        <v>1000066.7899999999</v>
      </c>
      <c r="F20" s="329">
        <f>E20/D20</f>
        <v>0.8695469267481725</v>
      </c>
      <c r="G20" s="26"/>
    </row>
    <row r="21" spans="1:7" s="21" customFormat="1" ht="21" customHeight="1">
      <c r="A21" s="69">
        <v>70005</v>
      </c>
      <c r="B21" s="70" t="s">
        <v>23</v>
      </c>
      <c r="C21" s="71">
        <f>C22+C23</f>
        <v>1047427</v>
      </c>
      <c r="D21" s="73">
        <f>D22+D23</f>
        <v>1150101</v>
      </c>
      <c r="E21" s="103">
        <f>E22+E23</f>
        <v>1000066.7899999999</v>
      </c>
      <c r="F21" s="332">
        <f>E21/D21</f>
        <v>0.8695469267481725</v>
      </c>
      <c r="G21" s="61"/>
    </row>
    <row r="22" spans="1:7" ht="18.75" customHeight="1">
      <c r="A22" s="75"/>
      <c r="B22" s="76" t="s">
        <v>16</v>
      </c>
      <c r="C22" s="65">
        <f>100300+118076+281527+303524+5000+239000</f>
        <v>1047427</v>
      </c>
      <c r="D22" s="77">
        <f>80000+103076+433137+194464+5000+269000+5750</f>
        <v>1090427</v>
      </c>
      <c r="E22" s="104">
        <f>59617.6+81279.72+349512.79+193371.5+2274.82+250942+5748.4</f>
        <v>942746.83</v>
      </c>
      <c r="F22" s="259"/>
      <c r="G22" s="26"/>
    </row>
    <row r="23" spans="1:7" ht="18" customHeight="1">
      <c r="A23" s="90"/>
      <c r="B23" s="86" t="s">
        <v>56</v>
      </c>
      <c r="C23" s="87">
        <v>0</v>
      </c>
      <c r="D23" s="79">
        <f>22000+37674</f>
        <v>59674</v>
      </c>
      <c r="E23" s="115">
        <f>19824.94+37495.02</f>
        <v>57319.95999999999</v>
      </c>
      <c r="F23" s="261"/>
      <c r="G23" s="26"/>
    </row>
    <row r="24" spans="1:6" s="184" customFormat="1" ht="13.5" customHeight="1">
      <c r="A24" s="152" t="s">
        <v>216</v>
      </c>
      <c r="B24" s="183" t="s">
        <v>215</v>
      </c>
      <c r="C24" s="185">
        <v>3</v>
      </c>
      <c r="D24" s="185">
        <v>4</v>
      </c>
      <c r="E24" s="185">
        <v>5</v>
      </c>
      <c r="F24" s="185">
        <v>6</v>
      </c>
    </row>
    <row r="25" spans="1:7" ht="22.5" customHeight="1">
      <c r="A25" s="63">
        <v>710</v>
      </c>
      <c r="B25" s="64" t="s">
        <v>24</v>
      </c>
      <c r="C25" s="82">
        <f>C26+C28</f>
        <v>89000</v>
      </c>
      <c r="D25" s="67">
        <f>D26+D28</f>
        <v>124000</v>
      </c>
      <c r="E25" s="102">
        <f>E26+E28</f>
        <v>120097.34</v>
      </c>
      <c r="F25" s="329">
        <f>E25/D25</f>
        <v>0.9685269354838709</v>
      </c>
      <c r="G25" s="26"/>
    </row>
    <row r="26" spans="1:7" s="21" customFormat="1" ht="21" customHeight="1">
      <c r="A26" s="69">
        <v>71004</v>
      </c>
      <c r="B26" s="70" t="s">
        <v>25</v>
      </c>
      <c r="C26" s="71">
        <f>C27</f>
        <v>15000</v>
      </c>
      <c r="D26" s="73">
        <f>D27</f>
        <v>20000</v>
      </c>
      <c r="E26" s="103">
        <f>E27</f>
        <v>17276.92</v>
      </c>
      <c r="F26" s="332">
        <f>E26/D26</f>
        <v>0.8638459999999999</v>
      </c>
      <c r="G26" s="61"/>
    </row>
    <row r="27" spans="1:7" ht="21.75" customHeight="1">
      <c r="A27" s="75"/>
      <c r="B27" s="76" t="s">
        <v>16</v>
      </c>
      <c r="C27" s="65">
        <v>15000</v>
      </c>
      <c r="D27" s="77">
        <v>20000</v>
      </c>
      <c r="E27" s="104">
        <v>17276.92</v>
      </c>
      <c r="F27" s="332"/>
      <c r="G27" s="26"/>
    </row>
    <row r="28" spans="1:7" s="21" customFormat="1" ht="21" customHeight="1">
      <c r="A28" s="69">
        <v>71035</v>
      </c>
      <c r="B28" s="70" t="s">
        <v>26</v>
      </c>
      <c r="C28" s="71">
        <f>C29</f>
        <v>74000</v>
      </c>
      <c r="D28" s="73">
        <f>D29</f>
        <v>104000</v>
      </c>
      <c r="E28" s="103">
        <f>E29</f>
        <v>102820.42</v>
      </c>
      <c r="F28" s="332">
        <f>E28/D28</f>
        <v>0.9886578846153846</v>
      </c>
      <c r="G28" s="61"/>
    </row>
    <row r="29" spans="1:7" ht="21.75" customHeight="1">
      <c r="A29" s="90"/>
      <c r="B29" s="86" t="s">
        <v>16</v>
      </c>
      <c r="C29" s="87">
        <f>10000+64000</f>
        <v>74000</v>
      </c>
      <c r="D29" s="79">
        <f>4500+4100+95400</f>
        <v>104000</v>
      </c>
      <c r="E29" s="115">
        <f>3413.39+4100+95307.03</f>
        <v>102820.42</v>
      </c>
      <c r="F29" s="261"/>
      <c r="G29" s="26"/>
    </row>
    <row r="30" spans="1:7" ht="22.5" customHeight="1">
      <c r="A30" s="63">
        <v>750</v>
      </c>
      <c r="B30" s="64" t="s">
        <v>2</v>
      </c>
      <c r="C30" s="91">
        <f>C31+C34+C36+C40+C43</f>
        <v>4237984</v>
      </c>
      <c r="D30" s="67">
        <f>D31+D34+D36+D40+D43</f>
        <v>4237984</v>
      </c>
      <c r="E30" s="102">
        <f>E31+E34+E36+E40+E43</f>
        <v>3993495.1000000006</v>
      </c>
      <c r="F30" s="329">
        <f>E30/D30</f>
        <v>0.9423100936671778</v>
      </c>
      <c r="G30" s="26"/>
    </row>
    <row r="31" spans="1:7" s="21" customFormat="1" ht="23.25" customHeight="1">
      <c r="A31" s="69">
        <v>75011</v>
      </c>
      <c r="B31" s="70" t="s">
        <v>87</v>
      </c>
      <c r="C31" s="92">
        <f>C32</f>
        <v>168958</v>
      </c>
      <c r="D31" s="73">
        <f>D32</f>
        <v>178658</v>
      </c>
      <c r="E31" s="103">
        <f>E32</f>
        <v>167202.99</v>
      </c>
      <c r="F31" s="332">
        <f>E31/D31</f>
        <v>0.9358830279080701</v>
      </c>
      <c r="G31" s="61"/>
    </row>
    <row r="32" spans="1:7" ht="21" customHeight="1">
      <c r="A32" s="75"/>
      <c r="B32" s="76" t="s">
        <v>14</v>
      </c>
      <c r="C32" s="94">
        <f>103070+17759+2529+7000+13000+24000+1600</f>
        <v>168958</v>
      </c>
      <c r="D32" s="65">
        <f>114270+20759+3029+7000+13000+19000+1600</f>
        <v>178658</v>
      </c>
      <c r="E32" s="104">
        <f>114224.87+19278.49+2729.93+4815.39+7259.96+17796.35+1098</f>
        <v>167202.99</v>
      </c>
      <c r="F32" s="332"/>
      <c r="G32" s="26"/>
    </row>
    <row r="33" spans="1:7" ht="20.25" customHeight="1">
      <c r="A33" s="75"/>
      <c r="B33" s="76" t="s">
        <v>15</v>
      </c>
      <c r="C33" s="94">
        <f>103070+17759+2529</f>
        <v>123358</v>
      </c>
      <c r="D33" s="65">
        <f>114270+20759+3029</f>
        <v>138058</v>
      </c>
      <c r="E33" s="104">
        <f>114224.87+19278.49+2729.93</f>
        <v>136233.28999999998</v>
      </c>
      <c r="F33" s="332"/>
      <c r="G33" s="26"/>
    </row>
    <row r="34" spans="1:7" s="21" customFormat="1" ht="25.5" customHeight="1">
      <c r="A34" s="69">
        <v>75022</v>
      </c>
      <c r="B34" s="70" t="s">
        <v>256</v>
      </c>
      <c r="C34" s="92">
        <f>C35</f>
        <v>181708</v>
      </c>
      <c r="D34" s="73">
        <f>D35</f>
        <v>181708</v>
      </c>
      <c r="E34" s="103">
        <f>E35</f>
        <v>132775.74</v>
      </c>
      <c r="F34" s="332">
        <f>E34/D34</f>
        <v>0.7307093798842098</v>
      </c>
      <c r="G34" s="61"/>
    </row>
    <row r="35" spans="1:7" ht="22.5" customHeight="1">
      <c r="A35" s="75"/>
      <c r="B35" s="76" t="s">
        <v>16</v>
      </c>
      <c r="C35" s="94">
        <f>162708+10000+5000+2000+2000</f>
        <v>181708</v>
      </c>
      <c r="D35" s="77">
        <f>162708+10000+5000+2000+2000</f>
        <v>181708</v>
      </c>
      <c r="E35" s="104">
        <f>124184.5+6497.14+2094.1</f>
        <v>132775.74</v>
      </c>
      <c r="F35" s="332"/>
      <c r="G35" s="26"/>
    </row>
    <row r="36" spans="1:7" s="21" customFormat="1" ht="24" customHeight="1">
      <c r="A36" s="69">
        <v>75023</v>
      </c>
      <c r="B36" s="70" t="s">
        <v>255</v>
      </c>
      <c r="C36" s="92">
        <f>C37+C39</f>
        <v>3771538</v>
      </c>
      <c r="D36" s="73">
        <f>D37+D39</f>
        <v>3761838</v>
      </c>
      <c r="E36" s="103">
        <f>E37+E39</f>
        <v>3606035.8100000005</v>
      </c>
      <c r="F36" s="332">
        <f>E36/D36</f>
        <v>0.9585834929627487</v>
      </c>
      <c r="G36" s="61"/>
    </row>
    <row r="37" spans="1:7" ht="24" customHeight="1">
      <c r="A37" s="75"/>
      <c r="B37" s="76" t="s">
        <v>14</v>
      </c>
      <c r="C37" s="94">
        <f>40000+2210051+130000+402372+57215+32000+80250+173000+60000+40000+214000+4000+6000+52400+74250+35000+7000</f>
        <v>3617538</v>
      </c>
      <c r="D37" s="65">
        <f>50000+2165551+164500+398172+56715+50200+90250+173000+53700+43500+202500+4000+3000+52400+74250+19000+7000+100</f>
        <v>3607838</v>
      </c>
      <c r="E37" s="104">
        <f>49645.47+2149286.65+164158.17+377016.16+54938.92+49479.7+85511.28+142207.34+46639.73+43429.75+186516.97+2992.92+2490.9+37782.24+74250+16601.87+6139.89+94.08</f>
        <v>3489182.0400000005</v>
      </c>
      <c r="F37" s="332"/>
      <c r="G37" s="26"/>
    </row>
    <row r="38" spans="1:7" ht="22.5" customHeight="1">
      <c r="A38" s="75"/>
      <c r="B38" s="76" t="s">
        <v>15</v>
      </c>
      <c r="C38" s="248">
        <f>2210051+130000+402372+57215+80250</f>
        <v>2879888</v>
      </c>
      <c r="D38" s="248">
        <f>2165551+164500+398172+56715+90250</f>
        <v>2875188</v>
      </c>
      <c r="E38" s="104">
        <f>2149286.65+164158.17+377016.16+54938.92+85511.28</f>
        <v>2830911.1799999997</v>
      </c>
      <c r="F38" s="332"/>
      <c r="G38" s="26"/>
    </row>
    <row r="39" spans="1:7" ht="22.5" customHeight="1">
      <c r="A39" s="75"/>
      <c r="B39" s="76" t="s">
        <v>56</v>
      </c>
      <c r="C39" s="94">
        <v>154000</v>
      </c>
      <c r="D39" s="65">
        <v>154000</v>
      </c>
      <c r="E39" s="104">
        <v>116853.77</v>
      </c>
      <c r="F39" s="332"/>
      <c r="G39" s="26"/>
    </row>
    <row r="40" spans="1:6" s="61" customFormat="1" ht="24.75" customHeight="1">
      <c r="A40" s="69" t="s">
        <v>199</v>
      </c>
      <c r="B40" s="70" t="s">
        <v>200</v>
      </c>
      <c r="C40" s="92">
        <f>C41</f>
        <v>105780</v>
      </c>
      <c r="D40" s="73">
        <f>D41</f>
        <v>105780</v>
      </c>
      <c r="E40" s="103">
        <f>E41</f>
        <v>82014.45999999999</v>
      </c>
      <c r="F40" s="332">
        <f>E40/D40</f>
        <v>0.7753304972584609</v>
      </c>
    </row>
    <row r="41" spans="1:7" ht="22.5" customHeight="1">
      <c r="A41" s="75"/>
      <c r="B41" s="76" t="s">
        <v>16</v>
      </c>
      <c r="C41" s="94">
        <f>4700+16500+84580</f>
        <v>105780</v>
      </c>
      <c r="D41" s="77">
        <f>4700+16500+84580</f>
        <v>105780</v>
      </c>
      <c r="E41" s="104">
        <f>2626+15556.31+63832.15</f>
        <v>82014.45999999999</v>
      </c>
      <c r="F41" s="259"/>
      <c r="G41" s="26"/>
    </row>
    <row r="42" spans="1:7" ht="19.5" customHeight="1">
      <c r="A42" s="75"/>
      <c r="B42" s="76" t="s">
        <v>15</v>
      </c>
      <c r="C42" s="94">
        <v>4700</v>
      </c>
      <c r="D42" s="77">
        <v>4700</v>
      </c>
      <c r="E42" s="104">
        <v>2626</v>
      </c>
      <c r="F42" s="259"/>
      <c r="G42" s="26"/>
    </row>
    <row r="43" spans="1:7" s="21" customFormat="1" ht="24" customHeight="1">
      <c r="A43" s="69">
        <v>75095</v>
      </c>
      <c r="B43" s="70" t="s">
        <v>20</v>
      </c>
      <c r="C43" s="92">
        <f>C44</f>
        <v>10000</v>
      </c>
      <c r="D43" s="73">
        <f>D44</f>
        <v>10000</v>
      </c>
      <c r="E43" s="103">
        <f>E44</f>
        <v>5466.1</v>
      </c>
      <c r="F43" s="332">
        <f>E43/D43</f>
        <v>0.54661</v>
      </c>
      <c r="G43" s="61"/>
    </row>
    <row r="44" spans="1:7" ht="19.5" customHeight="1">
      <c r="A44" s="90"/>
      <c r="B44" s="86" t="s">
        <v>16</v>
      </c>
      <c r="C44" s="93">
        <v>10000</v>
      </c>
      <c r="D44" s="79">
        <v>10000</v>
      </c>
      <c r="E44" s="115">
        <v>5466.1</v>
      </c>
      <c r="F44" s="261"/>
      <c r="G44" s="26"/>
    </row>
    <row r="45" spans="1:6" s="187" customFormat="1" ht="13.5" customHeight="1">
      <c r="A45" s="152" t="s">
        <v>216</v>
      </c>
      <c r="B45" s="183" t="s">
        <v>215</v>
      </c>
      <c r="C45" s="185">
        <v>3</v>
      </c>
      <c r="D45" s="185">
        <v>4</v>
      </c>
      <c r="E45" s="185">
        <v>5</v>
      </c>
      <c r="F45" s="185">
        <v>6</v>
      </c>
    </row>
    <row r="46" spans="1:7" ht="48.75" customHeight="1">
      <c r="A46" s="63">
        <v>751</v>
      </c>
      <c r="B46" s="154" t="s">
        <v>3</v>
      </c>
      <c r="C46" s="91">
        <f>C47+C49</f>
        <v>2712</v>
      </c>
      <c r="D46" s="101">
        <f>D47+D49</f>
        <v>56092</v>
      </c>
      <c r="E46" s="102">
        <f>E47+E49</f>
        <v>55022</v>
      </c>
      <c r="F46" s="313">
        <f>E46/D46</f>
        <v>0.9809241959637738</v>
      </c>
      <c r="G46" s="26"/>
    </row>
    <row r="47" spans="1:7" ht="38.25" customHeight="1">
      <c r="A47" s="69">
        <v>75101</v>
      </c>
      <c r="B47" s="99" t="s">
        <v>4</v>
      </c>
      <c r="C47" s="92">
        <f>C48</f>
        <v>2712</v>
      </c>
      <c r="D47" s="100">
        <f>D48</f>
        <v>2712</v>
      </c>
      <c r="E47" s="103">
        <f>E48</f>
        <v>2712</v>
      </c>
      <c r="F47" s="263">
        <f>E47/D47</f>
        <v>1</v>
      </c>
      <c r="G47" s="26"/>
    </row>
    <row r="48" spans="1:7" ht="22.5" customHeight="1">
      <c r="A48" s="69"/>
      <c r="B48" s="151" t="s">
        <v>16</v>
      </c>
      <c r="C48" s="254">
        <f>1000+1712</f>
        <v>2712</v>
      </c>
      <c r="D48" s="256">
        <f>1000+1712</f>
        <v>2712</v>
      </c>
      <c r="E48" s="250">
        <f>1000+1712</f>
        <v>2712</v>
      </c>
      <c r="F48" s="263"/>
      <c r="G48" s="26"/>
    </row>
    <row r="49" spans="1:6" s="21" customFormat="1" ht="68.25" customHeight="1">
      <c r="A49" s="251" t="s">
        <v>264</v>
      </c>
      <c r="B49" s="253" t="s">
        <v>234</v>
      </c>
      <c r="C49" s="255">
        <f>C50</f>
        <v>0</v>
      </c>
      <c r="D49" s="257">
        <f>D50</f>
        <v>53380</v>
      </c>
      <c r="E49" s="249">
        <f>E50</f>
        <v>52310</v>
      </c>
      <c r="F49" s="263">
        <f>E49/D49</f>
        <v>0.979955039340577</v>
      </c>
    </row>
    <row r="50" spans="1:7" ht="21.75" customHeight="1">
      <c r="A50" s="69"/>
      <c r="B50" s="151" t="s">
        <v>16</v>
      </c>
      <c r="C50" s="94">
        <v>0</v>
      </c>
      <c r="D50" s="101">
        <f>30380+1914+270+13849+3497+3470</f>
        <v>53380</v>
      </c>
      <c r="E50" s="104">
        <f>29310+1913.24+269.8+13851.1+3496.28+3469.58</f>
        <v>52310</v>
      </c>
      <c r="F50" s="264"/>
      <c r="G50" s="26"/>
    </row>
    <row r="51" spans="1:7" ht="21.75" customHeight="1">
      <c r="A51" s="252"/>
      <c r="B51" s="76" t="s">
        <v>15</v>
      </c>
      <c r="C51" s="93">
        <v>0</v>
      </c>
      <c r="D51" s="101">
        <v>16033</v>
      </c>
      <c r="E51" s="115">
        <v>16034.14</v>
      </c>
      <c r="F51" s="265"/>
      <c r="G51" s="26"/>
    </row>
    <row r="52" spans="1:7" ht="38.25" customHeight="1">
      <c r="A52" s="63">
        <v>754</v>
      </c>
      <c r="B52" s="64" t="s">
        <v>5</v>
      </c>
      <c r="C52" s="67">
        <f>C53+C55+C57+C59</f>
        <v>21000</v>
      </c>
      <c r="D52" s="67">
        <f>D53+D55+D57+D59</f>
        <v>21000</v>
      </c>
      <c r="E52" s="102">
        <f>E53+E55+E57+E59</f>
        <v>17060.71</v>
      </c>
      <c r="F52" s="329">
        <f>E52/D52</f>
        <v>0.8124147619047619</v>
      </c>
      <c r="G52" s="26"/>
    </row>
    <row r="53" spans="1:7" s="21" customFormat="1" ht="25.5" customHeight="1">
      <c r="A53" s="69" t="s">
        <v>201</v>
      </c>
      <c r="B53" s="70" t="s">
        <v>257</v>
      </c>
      <c r="C53" s="92">
        <f>C54</f>
        <v>0</v>
      </c>
      <c r="D53" s="73">
        <f>D54</f>
        <v>5000</v>
      </c>
      <c r="E53" s="103">
        <f>E54</f>
        <v>4999.98</v>
      </c>
      <c r="F53" s="332">
        <f>E53/D53</f>
        <v>0.9999959999999999</v>
      </c>
      <c r="G53" s="61"/>
    </row>
    <row r="54" spans="1:7" ht="23.25" customHeight="1">
      <c r="A54" s="75"/>
      <c r="B54" s="76" t="s">
        <v>16</v>
      </c>
      <c r="C54" s="94">
        <v>0</v>
      </c>
      <c r="D54" s="77">
        <v>5000</v>
      </c>
      <c r="E54" s="104">
        <v>4999.98</v>
      </c>
      <c r="F54" s="332"/>
      <c r="G54" s="26"/>
    </row>
    <row r="55" spans="1:7" s="21" customFormat="1" ht="24" customHeight="1">
      <c r="A55" s="69">
        <v>75412</v>
      </c>
      <c r="B55" s="70" t="s">
        <v>27</v>
      </c>
      <c r="C55" s="92">
        <f>C56</f>
        <v>11000</v>
      </c>
      <c r="D55" s="73">
        <f>D56</f>
        <v>11000</v>
      </c>
      <c r="E55" s="103">
        <f>E56</f>
        <v>10964.18</v>
      </c>
      <c r="F55" s="332">
        <f>E55/D55</f>
        <v>0.9967436363636364</v>
      </c>
      <c r="G55" s="61"/>
    </row>
    <row r="56" spans="1:7" ht="21.75" customHeight="1">
      <c r="A56" s="75"/>
      <c r="B56" s="76" t="s">
        <v>16</v>
      </c>
      <c r="C56" s="94">
        <f>9000+2000</f>
        <v>11000</v>
      </c>
      <c r="D56" s="77">
        <f>4353+1927+4720</f>
        <v>11000</v>
      </c>
      <c r="E56" s="104">
        <f>4317.71+1927+4719.47</f>
        <v>10964.18</v>
      </c>
      <c r="F56" s="332"/>
      <c r="G56" s="26"/>
    </row>
    <row r="57" spans="1:7" s="21" customFormat="1" ht="24" customHeight="1">
      <c r="A57" s="69">
        <v>75414</v>
      </c>
      <c r="B57" s="70" t="s">
        <v>6</v>
      </c>
      <c r="C57" s="92">
        <f>C58</f>
        <v>5000</v>
      </c>
      <c r="D57" s="73">
        <f>D58</f>
        <v>5000</v>
      </c>
      <c r="E57" s="103">
        <f>E58</f>
        <v>1096.55</v>
      </c>
      <c r="F57" s="332">
        <f>E57/D57</f>
        <v>0.21930999999999998</v>
      </c>
      <c r="G57" s="61"/>
    </row>
    <row r="58" spans="1:7" ht="22.5" customHeight="1">
      <c r="A58" s="75"/>
      <c r="B58" s="76" t="s">
        <v>16</v>
      </c>
      <c r="C58" s="94">
        <v>5000</v>
      </c>
      <c r="D58" s="77">
        <v>5000</v>
      </c>
      <c r="E58" s="104">
        <v>1096.55</v>
      </c>
      <c r="F58" s="332"/>
      <c r="G58" s="26"/>
    </row>
    <row r="59" spans="1:7" s="21" customFormat="1" ht="24" customHeight="1">
      <c r="A59" s="69">
        <v>75495</v>
      </c>
      <c r="B59" s="70" t="s">
        <v>20</v>
      </c>
      <c r="C59" s="92">
        <f>C60</f>
        <v>5000</v>
      </c>
      <c r="D59" s="73">
        <f>D60</f>
        <v>0</v>
      </c>
      <c r="E59" s="103">
        <f>E60</f>
        <v>0</v>
      </c>
      <c r="F59" s="332">
        <v>0</v>
      </c>
      <c r="G59" s="61"/>
    </row>
    <row r="60" spans="1:7" ht="24" customHeight="1">
      <c r="A60" s="90"/>
      <c r="B60" s="86" t="s">
        <v>16</v>
      </c>
      <c r="C60" s="93">
        <v>5000</v>
      </c>
      <c r="D60" s="79">
        <v>0</v>
      </c>
      <c r="E60" s="115">
        <v>0</v>
      </c>
      <c r="F60" s="261"/>
      <c r="G60" s="26"/>
    </row>
    <row r="61" spans="1:6" s="8" customFormat="1" ht="12.75" customHeight="1">
      <c r="A61" s="152" t="s">
        <v>216</v>
      </c>
      <c r="B61" s="183" t="s">
        <v>215</v>
      </c>
      <c r="C61" s="185">
        <v>3</v>
      </c>
      <c r="D61" s="185">
        <v>4</v>
      </c>
      <c r="E61" s="185">
        <v>5</v>
      </c>
      <c r="F61" s="185">
        <v>6</v>
      </c>
    </row>
    <row r="62" spans="1:7" ht="69.75" customHeight="1">
      <c r="A62" s="63">
        <v>756</v>
      </c>
      <c r="B62" s="95" t="s">
        <v>170</v>
      </c>
      <c r="C62" s="91">
        <f aca="true" t="shared" si="1" ref="C62:E63">C63</f>
        <v>55850</v>
      </c>
      <c r="D62" s="67">
        <f t="shared" si="1"/>
        <v>55850</v>
      </c>
      <c r="E62" s="102">
        <f t="shared" si="1"/>
        <v>53483.799999999996</v>
      </c>
      <c r="F62" s="329">
        <f>E62/D62</f>
        <v>0.9576329453894359</v>
      </c>
      <c r="G62" s="26"/>
    </row>
    <row r="63" spans="1:7" s="21" customFormat="1" ht="39.75" customHeight="1">
      <c r="A63" s="69" t="s">
        <v>70</v>
      </c>
      <c r="B63" s="96" t="s">
        <v>28</v>
      </c>
      <c r="C63" s="92">
        <f t="shared" si="1"/>
        <v>55850</v>
      </c>
      <c r="D63" s="73">
        <f t="shared" si="1"/>
        <v>55850</v>
      </c>
      <c r="E63" s="103">
        <f t="shared" si="1"/>
        <v>53483.799999999996</v>
      </c>
      <c r="F63" s="332">
        <f>E63/D63</f>
        <v>0.9576329453894359</v>
      </c>
      <c r="G63" s="61"/>
    </row>
    <row r="64" spans="1:7" ht="21.75" customHeight="1">
      <c r="A64" s="75"/>
      <c r="B64" s="97" t="s">
        <v>14</v>
      </c>
      <c r="C64" s="94">
        <f>17000+6000+850+17000+15000</f>
        <v>55850</v>
      </c>
      <c r="D64" s="77">
        <f>17000+6250+850+20750+11000</f>
        <v>55850</v>
      </c>
      <c r="E64" s="104">
        <f>15663+6185.4+830.62+20097.35+10707.43</f>
        <v>53483.799999999996</v>
      </c>
      <c r="F64" s="332"/>
      <c r="G64" s="26"/>
    </row>
    <row r="65" spans="1:7" ht="22.5" customHeight="1">
      <c r="A65" s="90"/>
      <c r="B65" s="98" t="s">
        <v>15</v>
      </c>
      <c r="C65" s="93">
        <f>17000+6000+850+17000</f>
        <v>40850</v>
      </c>
      <c r="D65" s="79">
        <f>17000+6250+850+20750</f>
        <v>44850</v>
      </c>
      <c r="E65" s="115">
        <f>15663+6185.4+830.62+20097.35</f>
        <v>42776.369999999995</v>
      </c>
      <c r="F65" s="333"/>
      <c r="G65" s="26"/>
    </row>
    <row r="66" spans="1:7" ht="30" customHeight="1">
      <c r="A66" s="75">
        <v>757</v>
      </c>
      <c r="B66" s="76" t="s">
        <v>29</v>
      </c>
      <c r="C66" s="94">
        <f aca="true" t="shared" si="2" ref="C66:E67">C67</f>
        <v>670000</v>
      </c>
      <c r="D66" s="77">
        <f t="shared" si="2"/>
        <v>470000</v>
      </c>
      <c r="E66" s="104">
        <f t="shared" si="2"/>
        <v>406028</v>
      </c>
      <c r="F66" s="260">
        <f>E66/D66</f>
        <v>0.8638893617021277</v>
      </c>
      <c r="G66" s="26"/>
    </row>
    <row r="67" spans="1:7" s="21" customFormat="1" ht="36" customHeight="1">
      <c r="A67" s="69">
        <v>75702</v>
      </c>
      <c r="B67" s="70" t="s">
        <v>58</v>
      </c>
      <c r="C67" s="92">
        <f t="shared" si="2"/>
        <v>670000</v>
      </c>
      <c r="D67" s="73">
        <f t="shared" si="2"/>
        <v>470000</v>
      </c>
      <c r="E67" s="103">
        <f t="shared" si="2"/>
        <v>406028</v>
      </c>
      <c r="F67" s="332">
        <f>E67/D67</f>
        <v>0.8638893617021277</v>
      </c>
      <c r="G67" s="61"/>
    </row>
    <row r="68" spans="1:7" ht="20.25" customHeight="1">
      <c r="A68" s="75"/>
      <c r="B68" s="76" t="s">
        <v>14</v>
      </c>
      <c r="C68" s="94">
        <v>670000</v>
      </c>
      <c r="D68" s="77">
        <v>470000</v>
      </c>
      <c r="E68" s="104">
        <v>406028</v>
      </c>
      <c r="F68" s="332"/>
      <c r="G68" s="26"/>
    </row>
    <row r="69" spans="1:7" ht="21.75" customHeight="1">
      <c r="A69" s="90"/>
      <c r="B69" s="86" t="s">
        <v>59</v>
      </c>
      <c r="C69" s="93">
        <v>670000</v>
      </c>
      <c r="D69" s="79">
        <v>470000</v>
      </c>
      <c r="E69" s="115">
        <v>406028</v>
      </c>
      <c r="F69" s="333"/>
      <c r="G69" s="26"/>
    </row>
    <row r="70" spans="1:7" ht="27" customHeight="1">
      <c r="A70" s="81">
        <v>758</v>
      </c>
      <c r="B70" s="64" t="s">
        <v>30</v>
      </c>
      <c r="C70" s="82">
        <f aca="true" t="shared" si="3" ref="C70:E71">C71</f>
        <v>459067</v>
      </c>
      <c r="D70" s="67">
        <f t="shared" si="3"/>
        <v>756</v>
      </c>
      <c r="E70" s="102">
        <f t="shared" si="3"/>
        <v>0</v>
      </c>
      <c r="F70" s="329">
        <f>E70*100/D70</f>
        <v>0</v>
      </c>
      <c r="G70" s="26"/>
    </row>
    <row r="71" spans="1:6" s="61" customFormat="1" ht="23.25" customHeight="1">
      <c r="A71" s="84">
        <v>75818</v>
      </c>
      <c r="B71" s="70" t="s">
        <v>31</v>
      </c>
      <c r="C71" s="71">
        <f t="shared" si="3"/>
        <v>459067</v>
      </c>
      <c r="D71" s="73">
        <f t="shared" si="3"/>
        <v>756</v>
      </c>
      <c r="E71" s="103">
        <f t="shared" si="3"/>
        <v>0</v>
      </c>
      <c r="F71" s="332">
        <f>E71*100/D71</f>
        <v>0</v>
      </c>
    </row>
    <row r="72" spans="1:7" ht="21.75" customHeight="1">
      <c r="A72" s="89"/>
      <c r="B72" s="76" t="s">
        <v>32</v>
      </c>
      <c r="C72" s="65">
        <v>459067</v>
      </c>
      <c r="D72" s="77">
        <v>756</v>
      </c>
      <c r="E72" s="104">
        <v>0</v>
      </c>
      <c r="F72" s="332"/>
      <c r="G72" s="26"/>
    </row>
    <row r="73" spans="1:7" ht="24.75" customHeight="1">
      <c r="A73" s="63">
        <v>801</v>
      </c>
      <c r="B73" s="154" t="s">
        <v>7</v>
      </c>
      <c r="C73" s="91">
        <f>C74+C79+C84+C87+C90+C92+C94</f>
        <v>12281496</v>
      </c>
      <c r="D73" s="67">
        <f>D74+D79+D84+D87+D90+D92+D94</f>
        <v>12570394</v>
      </c>
      <c r="E73" s="159">
        <f>E74+E79+E84+E87+E90+E92+E94</f>
        <v>12332859.57</v>
      </c>
      <c r="F73" s="313">
        <f>E73/D73</f>
        <v>0.9811036607126237</v>
      </c>
      <c r="G73" s="26"/>
    </row>
    <row r="74" spans="1:7" s="21" customFormat="1" ht="22.5" customHeight="1">
      <c r="A74" s="69">
        <v>80101</v>
      </c>
      <c r="B74" s="99" t="s">
        <v>33</v>
      </c>
      <c r="C74" s="92">
        <f>C75+C77</f>
        <v>5300885</v>
      </c>
      <c r="D74" s="73">
        <f>D75+D77</f>
        <v>5432371</v>
      </c>
      <c r="E74" s="156">
        <f>E75+E77</f>
        <v>5372162.210000001</v>
      </c>
      <c r="F74" s="263">
        <f>E74/D74</f>
        <v>0.9889166645650677</v>
      </c>
      <c r="G74" s="61"/>
    </row>
    <row r="75" spans="1:7" ht="21.75" customHeight="1">
      <c r="A75" s="75"/>
      <c r="B75" s="151" t="s">
        <v>14</v>
      </c>
      <c r="C75" s="94">
        <f>20344+3476134+282263+676490+91995+67000+9000+345700+76434+1620+1610+10300+241995</f>
        <v>5300885</v>
      </c>
      <c r="D75" s="77">
        <f>18344+6272+3623660+279811+656458+91876+3200+67900+9000+339950+72554+1450+1660+9350+244886</f>
        <v>5426371</v>
      </c>
      <c r="E75" s="157">
        <f>18087.79+6018+3613065.39+279810.3+653859.97+91347.79+3200+67874.82+8987.48+296547.77+72005.28+1404.9+1237.95+7828.77+244886</f>
        <v>5366162.210000001</v>
      </c>
      <c r="F75" s="264"/>
      <c r="G75" s="26"/>
    </row>
    <row r="76" spans="1:7" ht="21.75" customHeight="1">
      <c r="A76" s="75"/>
      <c r="B76" s="151" t="s">
        <v>15</v>
      </c>
      <c r="C76" s="94">
        <f>3476134+282263+676490+91995</f>
        <v>4526882</v>
      </c>
      <c r="D76" s="77">
        <f>3623660+279811+656458+91876+3200</f>
        <v>4655005</v>
      </c>
      <c r="E76" s="157">
        <f>3613065.39+279810.3+653859.97+91347.79+3200</f>
        <v>4641283.45</v>
      </c>
      <c r="F76" s="264"/>
      <c r="G76" s="26"/>
    </row>
    <row r="77" spans="1:7" ht="21.75" customHeight="1">
      <c r="A77" s="90"/>
      <c r="B77" s="153" t="s">
        <v>56</v>
      </c>
      <c r="C77" s="93">
        <v>0</v>
      </c>
      <c r="D77" s="79">
        <v>6000</v>
      </c>
      <c r="E77" s="158">
        <v>6000</v>
      </c>
      <c r="F77" s="265"/>
      <c r="G77" s="26"/>
    </row>
    <row r="78" spans="1:6" s="8" customFormat="1" ht="12.75" customHeight="1">
      <c r="A78" s="152" t="s">
        <v>216</v>
      </c>
      <c r="B78" s="183" t="s">
        <v>215</v>
      </c>
      <c r="C78" s="185">
        <v>3</v>
      </c>
      <c r="D78" s="185">
        <v>4</v>
      </c>
      <c r="E78" s="185">
        <v>5</v>
      </c>
      <c r="F78" s="185">
        <v>6</v>
      </c>
    </row>
    <row r="79" spans="1:7" s="21" customFormat="1" ht="21" customHeight="1">
      <c r="A79" s="118" t="s">
        <v>66</v>
      </c>
      <c r="B79" s="99" t="s">
        <v>34</v>
      </c>
      <c r="C79" s="169">
        <f>C80+C83</f>
        <v>3389434</v>
      </c>
      <c r="D79" s="100">
        <f>D80+D83</f>
        <v>3414991</v>
      </c>
      <c r="E79" s="122">
        <f>E80+E83</f>
        <v>3280437.39</v>
      </c>
      <c r="F79" s="334">
        <f>E79/D79</f>
        <v>0.9605991318864384</v>
      </c>
      <c r="G79" s="61"/>
    </row>
    <row r="80" spans="1:7" ht="21" customHeight="1">
      <c r="A80" s="75"/>
      <c r="B80" s="151" t="s">
        <v>14</v>
      </c>
      <c r="C80" s="94">
        <f>126471+6800+1908054+149407+370136+50406+1400+47670+347334+7250+189700+51300+550+3900+128256+800</f>
        <v>3389434</v>
      </c>
      <c r="D80" s="101">
        <f>126471+6800+1954482+137745+346173+48383+1004+57170+347334+10594+181000+53791+480+2730+133942+892</f>
        <v>3408991</v>
      </c>
      <c r="E80" s="104">
        <f>126471+6787.35+1928805.27+137742.56+341045.72+47744.28+1003.72+56893.13+263140.09+10580.71+164445.82+51977.31+278.9+2691.66+133942+891.27</f>
        <v>3274440.79</v>
      </c>
      <c r="F80" s="263"/>
      <c r="G80" s="26"/>
    </row>
    <row r="81" spans="1:7" ht="21.75" customHeight="1">
      <c r="A81" s="75"/>
      <c r="B81" s="151" t="s">
        <v>15</v>
      </c>
      <c r="C81" s="94">
        <f>1908054+149407+370136+50406</f>
        <v>2478003</v>
      </c>
      <c r="D81" s="101">
        <f>1954482+137745+346173+48383</f>
        <v>2486783</v>
      </c>
      <c r="E81" s="104">
        <f>1928805.27+137742.56+341045.72+47744.28</f>
        <v>2455337.8299999996</v>
      </c>
      <c r="F81" s="263"/>
      <c r="G81" s="26"/>
    </row>
    <row r="82" spans="1:7" ht="20.25" customHeight="1">
      <c r="A82" s="75"/>
      <c r="B82" s="151" t="s">
        <v>57</v>
      </c>
      <c r="C82" s="94">
        <v>126471</v>
      </c>
      <c r="D82" s="101">
        <v>126471</v>
      </c>
      <c r="E82" s="104">
        <v>126471</v>
      </c>
      <c r="F82" s="263"/>
      <c r="G82" s="26"/>
    </row>
    <row r="83" spans="1:7" ht="20.25" customHeight="1">
      <c r="A83" s="75"/>
      <c r="B83" s="151" t="s">
        <v>56</v>
      </c>
      <c r="C83" s="94">
        <v>0</v>
      </c>
      <c r="D83" s="101">
        <v>6000</v>
      </c>
      <c r="E83" s="104">
        <v>5996.6</v>
      </c>
      <c r="F83" s="263"/>
      <c r="G83" s="26"/>
    </row>
    <row r="84" spans="1:7" s="21" customFormat="1" ht="21.75" customHeight="1">
      <c r="A84" s="69">
        <v>80110</v>
      </c>
      <c r="B84" s="99" t="s">
        <v>35</v>
      </c>
      <c r="C84" s="92">
        <f>C85</f>
        <v>3410192</v>
      </c>
      <c r="D84" s="100">
        <f>D85</f>
        <v>3491550</v>
      </c>
      <c r="E84" s="103">
        <f>E85</f>
        <v>3458910.5900000003</v>
      </c>
      <c r="F84" s="263">
        <f>E84/D84</f>
        <v>0.9906518852658562</v>
      </c>
      <c r="G84" s="61"/>
    </row>
    <row r="85" spans="1:7" ht="19.5" customHeight="1">
      <c r="A85" s="75"/>
      <c r="B85" s="151" t="s">
        <v>14</v>
      </c>
      <c r="C85" s="94">
        <f>17200+2312203+181194+449071+61244+28610+9000+152200+32000+910+5100+161460</f>
        <v>3410192</v>
      </c>
      <c r="D85" s="101">
        <f>15000+2397534+179567+428769+60186+26910+9000+164800+36200+610+5100+167874</f>
        <v>3491550</v>
      </c>
      <c r="E85" s="104">
        <f>14688.74+2388010.91+179568.18+424800.06+59033.48+26888.99+8984.61+148368.96+35642.8+444.9+4604.96+167874</f>
        <v>3458910.5900000003</v>
      </c>
      <c r="F85" s="263"/>
      <c r="G85" s="26"/>
    </row>
    <row r="86" spans="1:7" ht="20.25" customHeight="1">
      <c r="A86" s="75"/>
      <c r="B86" s="151" t="s">
        <v>15</v>
      </c>
      <c r="C86" s="94">
        <f>2312203+181194+449071+61244</f>
        <v>3003712</v>
      </c>
      <c r="D86" s="101">
        <f>2397534+179567+428769+60186</f>
        <v>3066056</v>
      </c>
      <c r="E86" s="104">
        <f>2388010.91+179568.18+424800.06+59033.48</f>
        <v>3051412.6300000004</v>
      </c>
      <c r="F86" s="263"/>
      <c r="G86" s="26"/>
    </row>
    <row r="87" spans="1:7" s="21" customFormat="1" ht="20.25" customHeight="1">
      <c r="A87" s="69">
        <v>80113</v>
      </c>
      <c r="B87" s="99" t="s">
        <v>36</v>
      </c>
      <c r="C87" s="92">
        <f>C88</f>
        <v>30000</v>
      </c>
      <c r="D87" s="100">
        <f>D88</f>
        <v>30000</v>
      </c>
      <c r="E87" s="103">
        <f>E88</f>
        <v>26890.690000000002</v>
      </c>
      <c r="F87" s="263">
        <f>E87/D87</f>
        <v>0.8963563333333334</v>
      </c>
      <c r="G87" s="61"/>
    </row>
    <row r="88" spans="1:7" ht="21.75" customHeight="1">
      <c r="A88" s="75"/>
      <c r="B88" s="151" t="s">
        <v>14</v>
      </c>
      <c r="C88" s="94">
        <f>15000+15000</f>
        <v>30000</v>
      </c>
      <c r="D88" s="101">
        <f>11000+19000</f>
        <v>30000</v>
      </c>
      <c r="E88" s="104">
        <f>10857+16033.69</f>
        <v>26890.690000000002</v>
      </c>
      <c r="F88" s="263"/>
      <c r="G88" s="26"/>
    </row>
    <row r="89" spans="1:7" ht="18.75" customHeight="1">
      <c r="A89" s="75"/>
      <c r="B89" s="151" t="s">
        <v>57</v>
      </c>
      <c r="C89" s="94">
        <v>15000</v>
      </c>
      <c r="D89" s="101">
        <v>11000</v>
      </c>
      <c r="E89" s="104">
        <v>10857</v>
      </c>
      <c r="F89" s="263"/>
      <c r="G89" s="26"/>
    </row>
    <row r="90" spans="1:7" s="21" customFormat="1" ht="24.75" customHeight="1">
      <c r="A90" s="69" t="s">
        <v>91</v>
      </c>
      <c r="B90" s="99" t="s">
        <v>92</v>
      </c>
      <c r="C90" s="92">
        <f>C91</f>
        <v>2000</v>
      </c>
      <c r="D90" s="100">
        <f>D91</f>
        <v>2000</v>
      </c>
      <c r="E90" s="103">
        <f>E91</f>
        <v>1565.91</v>
      </c>
      <c r="F90" s="263">
        <f>E90/D90</f>
        <v>0.7829550000000001</v>
      </c>
      <c r="G90" s="61"/>
    </row>
    <row r="91" spans="1:7" ht="19.5" customHeight="1">
      <c r="A91" s="75"/>
      <c r="B91" s="151" t="s">
        <v>16</v>
      </c>
      <c r="C91" s="94">
        <v>2000</v>
      </c>
      <c r="D91" s="101">
        <v>2000</v>
      </c>
      <c r="E91" s="104">
        <v>1565.91</v>
      </c>
      <c r="F91" s="263"/>
      <c r="G91" s="26"/>
    </row>
    <row r="92" spans="1:7" s="21" customFormat="1" ht="33" customHeight="1">
      <c r="A92" s="69">
        <v>80146</v>
      </c>
      <c r="B92" s="99" t="s">
        <v>258</v>
      </c>
      <c r="C92" s="92">
        <f>C93</f>
        <v>66600</v>
      </c>
      <c r="D92" s="100">
        <f>D93</f>
        <v>66600</v>
      </c>
      <c r="E92" s="103">
        <f>E93</f>
        <v>62794.75</v>
      </c>
      <c r="F92" s="263">
        <f>E92/D92</f>
        <v>0.9428641141141141</v>
      </c>
      <c r="G92" s="61"/>
    </row>
    <row r="93" spans="1:7" ht="21" customHeight="1">
      <c r="A93" s="75"/>
      <c r="B93" s="151" t="s">
        <v>16</v>
      </c>
      <c r="C93" s="94">
        <f>20700+13768+30084+2048</f>
        <v>66600</v>
      </c>
      <c r="D93" s="101">
        <f>14860+17878+28914+2548+2400</f>
        <v>66600</v>
      </c>
      <c r="E93" s="104">
        <f>14659+17074.64+26733.61+1927.5+2400</f>
        <v>62794.75</v>
      </c>
      <c r="F93" s="263"/>
      <c r="G93" s="26"/>
    </row>
    <row r="94" spans="1:7" s="21" customFormat="1" ht="24.75" customHeight="1">
      <c r="A94" s="69" t="s">
        <v>139</v>
      </c>
      <c r="B94" s="99" t="s">
        <v>20</v>
      </c>
      <c r="C94" s="73">
        <f>C95</f>
        <v>82385</v>
      </c>
      <c r="D94" s="100">
        <f>D95</f>
        <v>132882</v>
      </c>
      <c r="E94" s="103">
        <f>E95</f>
        <v>130098.03</v>
      </c>
      <c r="F94" s="263">
        <f>E94/D94</f>
        <v>0.9790493069038696</v>
      </c>
      <c r="G94" s="61"/>
    </row>
    <row r="95" spans="1:7" s="34" customFormat="1" ht="20.25" customHeight="1">
      <c r="A95" s="90"/>
      <c r="B95" s="153" t="s">
        <v>16</v>
      </c>
      <c r="C95" s="93">
        <v>82385</v>
      </c>
      <c r="D95" s="271">
        <f>122385+10497</f>
        <v>132882</v>
      </c>
      <c r="E95" s="115">
        <f>122201.79+7896.24</f>
        <v>130098.03</v>
      </c>
      <c r="F95" s="314"/>
      <c r="G95" s="26"/>
    </row>
    <row r="96" spans="1:7" ht="21.75" customHeight="1">
      <c r="A96" s="63">
        <v>851</v>
      </c>
      <c r="B96" s="64" t="s">
        <v>37</v>
      </c>
      <c r="C96" s="91">
        <f>C97+C101+C104+C108</f>
        <v>241166</v>
      </c>
      <c r="D96" s="67">
        <f>D97+D101+D104+D108</f>
        <v>998766</v>
      </c>
      <c r="E96" s="102">
        <f>E97+E101+E104+E108</f>
        <v>968349.83</v>
      </c>
      <c r="F96" s="313">
        <f>E96/D96</f>
        <v>0.9695462500725895</v>
      </c>
      <c r="G96" s="26"/>
    </row>
    <row r="97" spans="1:6" s="61" customFormat="1" ht="24" customHeight="1">
      <c r="A97" s="69" t="s">
        <v>202</v>
      </c>
      <c r="B97" s="70" t="s">
        <v>203</v>
      </c>
      <c r="C97" s="92">
        <f>C98</f>
        <v>0</v>
      </c>
      <c r="D97" s="73">
        <f>D98</f>
        <v>717600</v>
      </c>
      <c r="E97" s="103">
        <f>E98</f>
        <v>717600</v>
      </c>
      <c r="F97" s="263">
        <f>E97/D97</f>
        <v>1</v>
      </c>
    </row>
    <row r="98" spans="1:7" ht="20.25" customHeight="1">
      <c r="A98" s="75"/>
      <c r="B98" s="76" t="s">
        <v>210</v>
      </c>
      <c r="C98" s="94">
        <v>0</v>
      </c>
      <c r="D98" s="77">
        <v>717600</v>
      </c>
      <c r="E98" s="104">
        <v>717600</v>
      </c>
      <c r="F98" s="264"/>
      <c r="G98" s="26"/>
    </row>
    <row r="99" spans="1:7" ht="18" customHeight="1">
      <c r="A99" s="90"/>
      <c r="B99" s="86" t="s">
        <v>211</v>
      </c>
      <c r="C99" s="93">
        <v>0</v>
      </c>
      <c r="D99" s="79">
        <v>717600</v>
      </c>
      <c r="E99" s="115">
        <v>717600</v>
      </c>
      <c r="F99" s="265"/>
      <c r="G99" s="26"/>
    </row>
    <row r="100" spans="1:6" s="8" customFormat="1" ht="12.75" customHeight="1">
      <c r="A100" s="152" t="s">
        <v>216</v>
      </c>
      <c r="B100" s="183" t="s">
        <v>215</v>
      </c>
      <c r="C100" s="185">
        <v>3</v>
      </c>
      <c r="D100" s="185">
        <v>4</v>
      </c>
      <c r="E100" s="185">
        <v>5</v>
      </c>
      <c r="F100" s="185">
        <v>6</v>
      </c>
    </row>
    <row r="101" spans="1:7" s="21" customFormat="1" ht="25.5" customHeight="1">
      <c r="A101" s="69">
        <v>85153</v>
      </c>
      <c r="B101" s="70" t="s">
        <v>38</v>
      </c>
      <c r="C101" s="92">
        <f>C102</f>
        <v>0</v>
      </c>
      <c r="D101" s="73">
        <f>D102</f>
        <v>4000</v>
      </c>
      <c r="E101" s="103">
        <f>E102</f>
        <v>4000</v>
      </c>
      <c r="F101" s="263">
        <f>E101/D101</f>
        <v>1</v>
      </c>
      <c r="G101" s="61"/>
    </row>
    <row r="102" spans="1:7" ht="21" customHeight="1">
      <c r="A102" s="75"/>
      <c r="B102" s="76" t="s">
        <v>14</v>
      </c>
      <c r="C102" s="94">
        <v>0</v>
      </c>
      <c r="D102" s="77">
        <v>4000</v>
      </c>
      <c r="E102" s="104">
        <v>4000</v>
      </c>
      <c r="F102" s="263"/>
      <c r="G102" s="26"/>
    </row>
    <row r="103" spans="1:7" ht="20.25" customHeight="1">
      <c r="A103" s="75"/>
      <c r="B103" s="76" t="s">
        <v>57</v>
      </c>
      <c r="C103" s="94">
        <v>0</v>
      </c>
      <c r="D103" s="77">
        <v>4000</v>
      </c>
      <c r="E103" s="104">
        <v>4000</v>
      </c>
      <c r="F103" s="263"/>
      <c r="G103" s="26"/>
    </row>
    <row r="104" spans="1:7" s="21" customFormat="1" ht="23.25" customHeight="1">
      <c r="A104" s="69">
        <v>85154</v>
      </c>
      <c r="B104" s="70" t="s">
        <v>39</v>
      </c>
      <c r="C104" s="92">
        <f>C105</f>
        <v>241166</v>
      </c>
      <c r="D104" s="73">
        <f>D105</f>
        <v>257166</v>
      </c>
      <c r="E104" s="103">
        <f>E105</f>
        <v>226749.83</v>
      </c>
      <c r="F104" s="263">
        <f>E104/D104</f>
        <v>0.8817255391459212</v>
      </c>
      <c r="G104" s="61"/>
    </row>
    <row r="105" spans="1:7" ht="21.75" customHeight="1">
      <c r="A105" s="75"/>
      <c r="B105" s="76" t="s">
        <v>14</v>
      </c>
      <c r="C105" s="94">
        <f>20000+5000+35735+8525+8620+1615+50284+38609+68428+4350</f>
        <v>241166</v>
      </c>
      <c r="D105" s="77">
        <f>3000+18000+3500+56735+7971+11160+1870+31548+48604+70428+4350</f>
        <v>257166</v>
      </c>
      <c r="E105" s="104">
        <f>3000+16000+3006.2+44132.54+7970.9+9663.24+1780.45+30785.37+38279.28+67781.85+4350</f>
        <v>226749.83</v>
      </c>
      <c r="F105" s="263"/>
      <c r="G105" s="26"/>
    </row>
    <row r="106" spans="1:7" ht="21.75" customHeight="1">
      <c r="A106" s="75"/>
      <c r="B106" s="76" t="s">
        <v>15</v>
      </c>
      <c r="C106" s="94">
        <f>35735+8525+8620+1615+50284</f>
        <v>104779</v>
      </c>
      <c r="D106" s="77">
        <f>56735+7971+11160+1870+31548</f>
        <v>109284</v>
      </c>
      <c r="E106" s="104">
        <f>44132.54+7970.9+9663.24+1780.45+30785.37</f>
        <v>94332.5</v>
      </c>
      <c r="F106" s="263"/>
      <c r="G106" s="26"/>
    </row>
    <row r="107" spans="1:7" ht="21.75" customHeight="1">
      <c r="A107" s="75"/>
      <c r="B107" s="76" t="s">
        <v>57</v>
      </c>
      <c r="C107" s="94">
        <v>20000</v>
      </c>
      <c r="D107" s="77">
        <f>3000+18000</f>
        <v>21000</v>
      </c>
      <c r="E107" s="104">
        <f>3000+16000</f>
        <v>19000</v>
      </c>
      <c r="F107" s="263"/>
      <c r="G107" s="26"/>
    </row>
    <row r="108" spans="1:7" s="21" customFormat="1" ht="24" customHeight="1">
      <c r="A108" s="69" t="s">
        <v>152</v>
      </c>
      <c r="B108" s="70" t="s">
        <v>128</v>
      </c>
      <c r="C108" s="92">
        <f>C109</f>
        <v>0</v>
      </c>
      <c r="D108" s="73">
        <f>D109</f>
        <v>20000</v>
      </c>
      <c r="E108" s="103">
        <f>E109</f>
        <v>20000</v>
      </c>
      <c r="F108" s="263">
        <f>E108/D108</f>
        <v>1</v>
      </c>
      <c r="G108" s="61"/>
    </row>
    <row r="109" spans="1:7" ht="21" customHeight="1">
      <c r="A109" s="75"/>
      <c r="B109" s="76" t="s">
        <v>212</v>
      </c>
      <c r="C109" s="94">
        <v>0</v>
      </c>
      <c r="D109" s="77">
        <v>20000</v>
      </c>
      <c r="E109" s="104">
        <v>20000</v>
      </c>
      <c r="F109" s="263"/>
      <c r="G109" s="26"/>
    </row>
    <row r="110" spans="1:7" ht="21" customHeight="1">
      <c r="A110" s="90"/>
      <c r="B110" s="86" t="s">
        <v>57</v>
      </c>
      <c r="C110" s="93">
        <v>0</v>
      </c>
      <c r="D110" s="79">
        <v>20000</v>
      </c>
      <c r="E110" s="115">
        <v>20000</v>
      </c>
      <c r="F110" s="314"/>
      <c r="G110" s="26"/>
    </row>
    <row r="111" spans="1:7" ht="30" customHeight="1">
      <c r="A111" s="63">
        <v>852</v>
      </c>
      <c r="B111" s="154" t="s">
        <v>8</v>
      </c>
      <c r="C111" s="91">
        <f>C112+C115+C118+C120+C122+C125+C128+C130</f>
        <v>6009671</v>
      </c>
      <c r="D111" s="83">
        <f>D112+D115+D118+D120+D122+D125+D128+D130</f>
        <v>6106912</v>
      </c>
      <c r="E111" s="159">
        <f>E112+E115+E118+E120+E122+E125+E128+E130</f>
        <v>6026248.62</v>
      </c>
      <c r="F111" s="313">
        <f>E111/D111</f>
        <v>0.9867914618714008</v>
      </c>
      <c r="G111" s="26"/>
    </row>
    <row r="112" spans="1:7" s="21" customFormat="1" ht="54.75" customHeight="1">
      <c r="A112" s="69" t="s">
        <v>93</v>
      </c>
      <c r="B112" s="99" t="s">
        <v>206</v>
      </c>
      <c r="C112" s="92">
        <f>C113</f>
        <v>3711000</v>
      </c>
      <c r="D112" s="72">
        <f>D113</f>
        <v>3528500</v>
      </c>
      <c r="E112" s="156">
        <f>E113</f>
        <v>3471193.11</v>
      </c>
      <c r="F112" s="263">
        <f>E112/D112</f>
        <v>0.9837588522034859</v>
      </c>
      <c r="G112" s="61"/>
    </row>
    <row r="113" spans="1:7" ht="22.5" customHeight="1">
      <c r="A113" s="75"/>
      <c r="B113" s="151" t="s">
        <v>14</v>
      </c>
      <c r="C113" s="94">
        <f>3588455+50320+4500+46270+1455+10000+10000</f>
        <v>3711000</v>
      </c>
      <c r="D113" s="66">
        <f>3405955+58470+3655+46270+1655+860+2700+8935</f>
        <v>3528500</v>
      </c>
      <c r="E113" s="157">
        <f>3357975.55+58433.9+3654.63+38471.83+1492.31+853.41+2625.17+7686.31</f>
        <v>3471193.11</v>
      </c>
      <c r="F113" s="263"/>
      <c r="G113" s="26"/>
    </row>
    <row r="114" spans="1:7" ht="26.25" customHeight="1">
      <c r="A114" s="75"/>
      <c r="B114" s="151" t="s">
        <v>15</v>
      </c>
      <c r="C114" s="94">
        <f>50320+4500+46270+1455</f>
        <v>102545</v>
      </c>
      <c r="D114" s="66">
        <f>58470+3655+46270+1655+860</f>
        <v>110910</v>
      </c>
      <c r="E114" s="157">
        <f>58433.9+3654.63+38471.83+1492.31+853.41</f>
        <v>102906.08</v>
      </c>
      <c r="F114" s="263"/>
      <c r="G114" s="26"/>
    </row>
    <row r="115" spans="1:7" s="21" customFormat="1" ht="66.75" customHeight="1">
      <c r="A115" s="69">
        <v>85213</v>
      </c>
      <c r="B115" s="99" t="s">
        <v>141</v>
      </c>
      <c r="C115" s="92">
        <f>C116</f>
        <v>27500</v>
      </c>
      <c r="D115" s="72">
        <f>D116</f>
        <v>22590</v>
      </c>
      <c r="E115" s="156">
        <f>E116</f>
        <v>22093.95</v>
      </c>
      <c r="F115" s="263">
        <f>E115/D115</f>
        <v>0.9780411686586986</v>
      </c>
      <c r="G115" s="61"/>
    </row>
    <row r="116" spans="1:7" ht="21.75" customHeight="1">
      <c r="A116" s="90"/>
      <c r="B116" s="153" t="s">
        <v>16</v>
      </c>
      <c r="C116" s="93">
        <v>27500</v>
      </c>
      <c r="D116" s="88">
        <v>22590</v>
      </c>
      <c r="E116" s="158">
        <v>22093.95</v>
      </c>
      <c r="F116" s="314"/>
      <c r="G116" s="26"/>
    </row>
    <row r="117" spans="1:7" ht="13.5" customHeight="1">
      <c r="A117" s="152" t="s">
        <v>216</v>
      </c>
      <c r="B117" s="183" t="s">
        <v>215</v>
      </c>
      <c r="C117" s="185">
        <v>3</v>
      </c>
      <c r="D117" s="185">
        <v>4</v>
      </c>
      <c r="E117" s="185">
        <v>5</v>
      </c>
      <c r="F117" s="185">
        <v>6</v>
      </c>
      <c r="G117" s="26"/>
    </row>
    <row r="118" spans="1:7" s="21" customFormat="1" ht="41.25" customHeight="1">
      <c r="A118" s="69">
        <v>85214</v>
      </c>
      <c r="B118" s="99" t="s">
        <v>149</v>
      </c>
      <c r="C118" s="92">
        <f>C119</f>
        <v>723000</v>
      </c>
      <c r="D118" s="72">
        <f>D119</f>
        <v>748562</v>
      </c>
      <c r="E118" s="156">
        <f>E119</f>
        <v>745542.74</v>
      </c>
      <c r="F118" s="263">
        <f>E118/D118</f>
        <v>0.995966586602045</v>
      </c>
      <c r="G118" s="61"/>
    </row>
    <row r="119" spans="1:7" ht="22.5" customHeight="1">
      <c r="A119" s="75"/>
      <c r="B119" s="151" t="s">
        <v>16</v>
      </c>
      <c r="C119" s="94">
        <f>621000+102000</f>
        <v>723000</v>
      </c>
      <c r="D119" s="66">
        <f>687284+61278</f>
        <v>748562</v>
      </c>
      <c r="E119" s="157">
        <f>684265.66+61277.08</f>
        <v>745542.74</v>
      </c>
      <c r="F119" s="263"/>
      <c r="G119" s="26"/>
    </row>
    <row r="120" spans="1:7" s="21" customFormat="1" ht="21.75" customHeight="1">
      <c r="A120" s="69">
        <v>85215</v>
      </c>
      <c r="B120" s="99" t="s">
        <v>40</v>
      </c>
      <c r="C120" s="92">
        <f>C121</f>
        <v>450000</v>
      </c>
      <c r="D120" s="72">
        <f>D121</f>
        <v>425000</v>
      </c>
      <c r="E120" s="156">
        <f>E121</f>
        <v>424150.16</v>
      </c>
      <c r="F120" s="263">
        <f>E120/D120</f>
        <v>0.9980003764705881</v>
      </c>
      <c r="G120" s="61"/>
    </row>
    <row r="121" spans="1:7" ht="19.5" customHeight="1">
      <c r="A121" s="75"/>
      <c r="B121" s="151" t="s">
        <v>16</v>
      </c>
      <c r="C121" s="94">
        <v>450000</v>
      </c>
      <c r="D121" s="66">
        <v>425000</v>
      </c>
      <c r="E121" s="157">
        <v>424150.16</v>
      </c>
      <c r="F121" s="263"/>
      <c r="G121" s="26"/>
    </row>
    <row r="122" spans="1:7" s="21" customFormat="1" ht="25.5" customHeight="1">
      <c r="A122" s="69">
        <v>85219</v>
      </c>
      <c r="B122" s="99" t="s">
        <v>17</v>
      </c>
      <c r="C122" s="92">
        <f>C123</f>
        <v>805171</v>
      </c>
      <c r="D122" s="72">
        <f>D123</f>
        <v>838121</v>
      </c>
      <c r="E122" s="156">
        <f>E123</f>
        <v>837406.2</v>
      </c>
      <c r="F122" s="263">
        <f>E122/D122</f>
        <v>0.9991471398521216</v>
      </c>
      <c r="G122" s="61"/>
    </row>
    <row r="123" spans="1:7" ht="21" customHeight="1">
      <c r="A123" s="75"/>
      <c r="B123" s="151" t="s">
        <v>14</v>
      </c>
      <c r="C123" s="94">
        <f>9942+563484+38900+105020+14512+13203+8400+13213+5000+13766+950+450+18331</f>
        <v>805171</v>
      </c>
      <c r="D123" s="66">
        <f>7420+583275+39409+106601+14633+12465+5700+24414+5900+13666+4065+450+20123</f>
        <v>838121</v>
      </c>
      <c r="E123" s="157">
        <f>7420+583275+39408.46+106600.06+14632.22+12437+5700+24413.92+5412.65+13647.09+4047.1+290+20122.7</f>
        <v>837406.2</v>
      </c>
      <c r="F123" s="263"/>
      <c r="G123" s="26"/>
    </row>
    <row r="124" spans="1:7" ht="20.25" customHeight="1">
      <c r="A124" s="75"/>
      <c r="B124" s="151" t="s">
        <v>15</v>
      </c>
      <c r="C124" s="94">
        <f>563484+38900+105020+14512+8400</f>
        <v>730316</v>
      </c>
      <c r="D124" s="170">
        <f>583275+39409+106601+14633+5700</f>
        <v>749618</v>
      </c>
      <c r="E124" s="104">
        <f>583275+39408.46+106600.06+14632.22+5700</f>
        <v>749615.74</v>
      </c>
      <c r="F124" s="263"/>
      <c r="G124" s="26"/>
    </row>
    <row r="125" spans="1:6" s="61" customFormat="1" ht="41.25" customHeight="1">
      <c r="A125" s="69" t="s">
        <v>144</v>
      </c>
      <c r="B125" s="99" t="s">
        <v>150</v>
      </c>
      <c r="C125" s="92">
        <f>C126</f>
        <v>123000</v>
      </c>
      <c r="D125" s="72">
        <f>D126</f>
        <v>114810</v>
      </c>
      <c r="E125" s="156">
        <f>E126</f>
        <v>114799.79999999999</v>
      </c>
      <c r="F125" s="263">
        <f>E125/D125</f>
        <v>0.999911157564672</v>
      </c>
    </row>
    <row r="126" spans="1:7" ht="20.25" customHeight="1">
      <c r="A126" s="75"/>
      <c r="B126" s="151" t="s">
        <v>14</v>
      </c>
      <c r="C126" s="94">
        <f>87792+8342+16789+2320+590+3500+3667</f>
        <v>123000</v>
      </c>
      <c r="D126" s="66">
        <f>841+79830+8504+15509+2120+2251+2000+185+3570</f>
        <v>114810</v>
      </c>
      <c r="E126" s="157">
        <f>840.29+79826.8+8503.26+15508.51+2119.89+2247+2000+185+3569.05</f>
        <v>114799.79999999999</v>
      </c>
      <c r="F126" s="263"/>
      <c r="G126" s="26"/>
    </row>
    <row r="127" spans="1:7" ht="18.75" customHeight="1">
      <c r="A127" s="75"/>
      <c r="B127" s="151" t="s">
        <v>15</v>
      </c>
      <c r="C127" s="94">
        <f>87792+8342+16789+2320+3500</f>
        <v>118743</v>
      </c>
      <c r="D127" s="66">
        <f>79830+8504+15509+2120+2000</f>
        <v>107963</v>
      </c>
      <c r="E127" s="157">
        <f>79826.8+8503.26+15508.51+2119.89+2000</f>
        <v>107958.45999999999</v>
      </c>
      <c r="F127" s="263"/>
      <c r="G127" s="26"/>
    </row>
    <row r="128" spans="1:6" s="21" customFormat="1" ht="25.5" customHeight="1">
      <c r="A128" s="251" t="s">
        <v>265</v>
      </c>
      <c r="B128" s="253" t="s">
        <v>266</v>
      </c>
      <c r="C128" s="255">
        <f>C129</f>
        <v>0</v>
      </c>
      <c r="D128" s="258">
        <f>D129</f>
        <v>2129</v>
      </c>
      <c r="E128" s="267">
        <f>E129</f>
        <v>0</v>
      </c>
      <c r="F128" s="263">
        <v>0</v>
      </c>
    </row>
    <row r="129" spans="1:7" ht="21.75" customHeight="1">
      <c r="A129" s="75"/>
      <c r="B129" s="151" t="s">
        <v>16</v>
      </c>
      <c r="C129" s="94">
        <v>0</v>
      </c>
      <c r="D129" s="66">
        <v>2129</v>
      </c>
      <c r="E129" s="157">
        <v>0</v>
      </c>
      <c r="F129" s="263"/>
      <c r="G129" s="26"/>
    </row>
    <row r="130" spans="1:7" s="21" customFormat="1" ht="24.75" customHeight="1">
      <c r="A130" s="69">
        <v>85295</v>
      </c>
      <c r="B130" s="99" t="s">
        <v>20</v>
      </c>
      <c r="C130" s="92">
        <f>C131</f>
        <v>170000</v>
      </c>
      <c r="D130" s="72">
        <f>D131</f>
        <v>427200</v>
      </c>
      <c r="E130" s="156">
        <f>E131</f>
        <v>411062.66</v>
      </c>
      <c r="F130" s="263">
        <f>E130/D130</f>
        <v>0.9622253277153557</v>
      </c>
      <c r="G130" s="61"/>
    </row>
    <row r="131" spans="1:7" ht="21.75" customHeight="1">
      <c r="A131" s="75"/>
      <c r="B131" s="151" t="s">
        <v>14</v>
      </c>
      <c r="C131" s="94">
        <f>10000+60000+100000</f>
        <v>170000</v>
      </c>
      <c r="D131" s="66">
        <f>8500+60000+358700</f>
        <v>427200</v>
      </c>
      <c r="E131" s="157">
        <f>2500+50000+358562.66</f>
        <v>411062.66</v>
      </c>
      <c r="F131" s="263"/>
      <c r="G131" s="26"/>
    </row>
    <row r="132" spans="1:7" ht="22.5" customHeight="1">
      <c r="A132" s="90"/>
      <c r="B132" s="153" t="s">
        <v>57</v>
      </c>
      <c r="C132" s="93">
        <f>10000+60000</f>
        <v>70000</v>
      </c>
      <c r="D132" s="88">
        <v>68500</v>
      </c>
      <c r="E132" s="158">
        <f>2500+50000</f>
        <v>52500</v>
      </c>
      <c r="F132" s="314"/>
      <c r="G132" s="26"/>
    </row>
    <row r="133" spans="1:7" ht="38.25" customHeight="1">
      <c r="A133" s="81" t="s">
        <v>96</v>
      </c>
      <c r="B133" s="64" t="s">
        <v>97</v>
      </c>
      <c r="C133" s="82">
        <f aca="true" t="shared" si="4" ref="C133:E134">C134</f>
        <v>8000</v>
      </c>
      <c r="D133" s="67">
        <f t="shared" si="4"/>
        <v>8000</v>
      </c>
      <c r="E133" s="102">
        <f t="shared" si="4"/>
        <v>6974.3</v>
      </c>
      <c r="F133" s="329">
        <f>E133/D133</f>
        <v>0.8717875</v>
      </c>
      <c r="G133" s="26"/>
    </row>
    <row r="134" spans="1:7" s="21" customFormat="1" ht="21" customHeight="1">
      <c r="A134" s="69" t="s">
        <v>98</v>
      </c>
      <c r="B134" s="70" t="s">
        <v>20</v>
      </c>
      <c r="C134" s="71">
        <f t="shared" si="4"/>
        <v>8000</v>
      </c>
      <c r="D134" s="73">
        <f t="shared" si="4"/>
        <v>8000</v>
      </c>
      <c r="E134" s="103">
        <f t="shared" si="4"/>
        <v>6974.3</v>
      </c>
      <c r="F134" s="332">
        <f>E134/D134</f>
        <v>0.8717875</v>
      </c>
      <c r="G134" s="61"/>
    </row>
    <row r="135" spans="1:7" ht="22.5" customHeight="1">
      <c r="A135" s="90"/>
      <c r="B135" s="86" t="s">
        <v>16</v>
      </c>
      <c r="C135" s="87">
        <f>3600+4000+400</f>
        <v>8000</v>
      </c>
      <c r="D135" s="79">
        <f>2020+5500+60+420</f>
        <v>8000</v>
      </c>
      <c r="E135" s="115">
        <f>1420.11+5082.59+54.6+417</f>
        <v>6974.3</v>
      </c>
      <c r="F135" s="333"/>
      <c r="G135" s="26"/>
    </row>
    <row r="136" spans="1:6" s="8" customFormat="1" ht="12.75" customHeight="1">
      <c r="A136" s="152" t="s">
        <v>216</v>
      </c>
      <c r="B136" s="183" t="s">
        <v>215</v>
      </c>
      <c r="C136" s="185">
        <v>3</v>
      </c>
      <c r="D136" s="185">
        <v>4</v>
      </c>
      <c r="E136" s="185">
        <v>5</v>
      </c>
      <c r="F136" s="185">
        <v>6</v>
      </c>
    </row>
    <row r="137" spans="1:7" ht="27.75" customHeight="1">
      <c r="A137" s="63" t="s">
        <v>94</v>
      </c>
      <c r="B137" s="64" t="s">
        <v>41</v>
      </c>
      <c r="C137" s="91">
        <f>C138+C141</f>
        <v>849478</v>
      </c>
      <c r="D137" s="67">
        <f>D138+D141</f>
        <v>979547</v>
      </c>
      <c r="E137" s="102">
        <f>E138+E141</f>
        <v>931618.7999999999</v>
      </c>
      <c r="F137" s="329">
        <f>E137/D137</f>
        <v>0.9510710563148067</v>
      </c>
      <c r="G137" s="26"/>
    </row>
    <row r="138" spans="1:7" s="21" customFormat="1" ht="22.5" customHeight="1">
      <c r="A138" s="69">
        <v>85401</v>
      </c>
      <c r="B138" s="70" t="s">
        <v>42</v>
      </c>
      <c r="C138" s="92">
        <f>C139</f>
        <v>835878</v>
      </c>
      <c r="D138" s="73">
        <f>D139</f>
        <v>852182</v>
      </c>
      <c r="E138" s="103">
        <f>E139</f>
        <v>804890.69</v>
      </c>
      <c r="F138" s="332">
        <f>E138/D138</f>
        <v>0.9445056220384846</v>
      </c>
      <c r="G138" s="61"/>
    </row>
    <row r="139" spans="1:7" ht="21" customHeight="1">
      <c r="A139" s="75"/>
      <c r="B139" s="76" t="s">
        <v>14</v>
      </c>
      <c r="C139" s="94">
        <f>3450+421675+35973+82516+11271+10650+238257+3950+28136</f>
        <v>835878</v>
      </c>
      <c r="D139" s="77">
        <f>3450+439475+34175+78749+11291+21150+199257+31600+3950+29085</f>
        <v>852182</v>
      </c>
      <c r="E139" s="104">
        <f>2043.44+434396.97+34173.03+77804.4+11166.98+21075.02+161341.93+31578.22+2225.7+29085</f>
        <v>804890.69</v>
      </c>
      <c r="F139" s="332"/>
      <c r="G139" s="26"/>
    </row>
    <row r="140" spans="1:7" ht="21" customHeight="1">
      <c r="A140" s="75"/>
      <c r="B140" s="76" t="s">
        <v>15</v>
      </c>
      <c r="C140" s="94">
        <f>421675+35973+82516+11271</f>
        <v>551435</v>
      </c>
      <c r="D140" s="77">
        <f>439475+34175+78749+11291</f>
        <v>563690</v>
      </c>
      <c r="E140" s="104">
        <f>434396.97+34173.03+77804.4+11166.98</f>
        <v>557541.38</v>
      </c>
      <c r="F140" s="332"/>
      <c r="G140" s="26"/>
    </row>
    <row r="141" spans="1:7" s="21" customFormat="1" ht="21.75" customHeight="1">
      <c r="A141" s="84" t="s">
        <v>130</v>
      </c>
      <c r="B141" s="70" t="s">
        <v>153</v>
      </c>
      <c r="C141" s="71">
        <f>C142</f>
        <v>13600</v>
      </c>
      <c r="D141" s="73">
        <f>D142</f>
        <v>127365</v>
      </c>
      <c r="E141" s="103">
        <f>E142</f>
        <v>126728.11</v>
      </c>
      <c r="F141" s="263">
        <f>E141/D141</f>
        <v>0.9949994896557139</v>
      </c>
      <c r="G141" s="61"/>
    </row>
    <row r="142" spans="1:7" ht="20.25" customHeight="1">
      <c r="A142" s="89"/>
      <c r="B142" s="76" t="s">
        <v>154</v>
      </c>
      <c r="C142" s="65">
        <v>13600</v>
      </c>
      <c r="D142" s="77">
        <v>127365</v>
      </c>
      <c r="E142" s="104">
        <v>126728.11</v>
      </c>
      <c r="F142" s="332"/>
      <c r="G142" s="26"/>
    </row>
    <row r="143" spans="1:7" ht="38.25" customHeight="1">
      <c r="A143" s="63">
        <v>900</v>
      </c>
      <c r="B143" s="154" t="s">
        <v>9</v>
      </c>
      <c r="C143" s="91">
        <f>C144+C147+C149+C151+C153+C157</f>
        <v>1350300</v>
      </c>
      <c r="D143" s="67">
        <f>D144+D147+D149+D151+D153+D157</f>
        <v>1684317</v>
      </c>
      <c r="E143" s="68">
        <f>E144+E147+E149+E151+E153+E157</f>
        <v>1660299.41</v>
      </c>
      <c r="F143" s="313">
        <f>E143/D143</f>
        <v>0.9857404574079582</v>
      </c>
      <c r="G143" s="26"/>
    </row>
    <row r="144" spans="1:7" s="21" customFormat="1" ht="23.25" customHeight="1">
      <c r="A144" s="69">
        <v>90001</v>
      </c>
      <c r="B144" s="99" t="s">
        <v>43</v>
      </c>
      <c r="C144" s="92">
        <f>C145+C146</f>
        <v>400000</v>
      </c>
      <c r="D144" s="73">
        <f>D145+D146</f>
        <v>526112</v>
      </c>
      <c r="E144" s="74">
        <f>E145+E146</f>
        <v>522554.41000000003</v>
      </c>
      <c r="F144" s="263">
        <f>E144/D144</f>
        <v>0.993237960738398</v>
      </c>
      <c r="G144" s="61"/>
    </row>
    <row r="145" spans="1:7" s="21" customFormat="1" ht="20.25" customHeight="1">
      <c r="A145" s="69"/>
      <c r="B145" s="151" t="s">
        <v>16</v>
      </c>
      <c r="C145" s="254">
        <v>0</v>
      </c>
      <c r="D145" s="254">
        <v>39528</v>
      </c>
      <c r="E145" s="270">
        <v>39498.34</v>
      </c>
      <c r="F145" s="263"/>
      <c r="G145" s="61"/>
    </row>
    <row r="146" spans="1:7" ht="21" customHeight="1">
      <c r="A146" s="75"/>
      <c r="B146" s="151" t="s">
        <v>56</v>
      </c>
      <c r="C146" s="94">
        <v>400000</v>
      </c>
      <c r="D146" s="268">
        <f>36000+330084+120500</f>
        <v>486584</v>
      </c>
      <c r="E146" s="269">
        <f>32686.33+330083.18+120286.56</f>
        <v>483056.07</v>
      </c>
      <c r="F146" s="263"/>
      <c r="G146" s="26"/>
    </row>
    <row r="147" spans="1:6" s="61" customFormat="1" ht="24" customHeight="1">
      <c r="A147" s="69" t="s">
        <v>133</v>
      </c>
      <c r="B147" s="99" t="s">
        <v>134</v>
      </c>
      <c r="C147" s="92">
        <f>C148</f>
        <v>0</v>
      </c>
      <c r="D147" s="73">
        <f>D148</f>
        <v>25575</v>
      </c>
      <c r="E147" s="74">
        <f>E148</f>
        <v>20514.3</v>
      </c>
      <c r="F147" s="263">
        <f>E147/D147</f>
        <v>0.8021231671554252</v>
      </c>
    </row>
    <row r="148" spans="1:7" ht="22.5" customHeight="1">
      <c r="A148" s="75"/>
      <c r="B148" s="151" t="s">
        <v>16</v>
      </c>
      <c r="C148" s="94">
        <v>0</v>
      </c>
      <c r="D148" s="77">
        <v>25575</v>
      </c>
      <c r="E148" s="78">
        <v>20514.3</v>
      </c>
      <c r="F148" s="263"/>
      <c r="G148" s="26"/>
    </row>
    <row r="149" spans="1:7" s="21" customFormat="1" ht="24.75" customHeight="1">
      <c r="A149" s="69" t="s">
        <v>171</v>
      </c>
      <c r="B149" s="99" t="s">
        <v>44</v>
      </c>
      <c r="C149" s="92">
        <f>C150</f>
        <v>219100</v>
      </c>
      <c r="D149" s="73">
        <f>D150</f>
        <v>222300</v>
      </c>
      <c r="E149" s="74">
        <f>E150</f>
        <v>222329.91</v>
      </c>
      <c r="F149" s="263">
        <f>E149/D149</f>
        <v>1.0001345479082322</v>
      </c>
      <c r="G149" s="61"/>
    </row>
    <row r="150" spans="1:7" ht="21" customHeight="1">
      <c r="A150" s="75"/>
      <c r="B150" s="151" t="s">
        <v>16</v>
      </c>
      <c r="C150" s="94">
        <f>1000+218100</f>
        <v>219100</v>
      </c>
      <c r="D150" s="77">
        <f>1000+221300</f>
        <v>222300</v>
      </c>
      <c r="E150" s="78">
        <f>1006.5+221323.41</f>
        <v>222329.91</v>
      </c>
      <c r="F150" s="263"/>
      <c r="G150" s="26"/>
    </row>
    <row r="151" spans="1:7" s="168" customFormat="1" ht="24" customHeight="1">
      <c r="A151" s="69">
        <v>90004</v>
      </c>
      <c r="B151" s="99" t="s">
        <v>45</v>
      </c>
      <c r="C151" s="92">
        <f>C152</f>
        <v>40200</v>
      </c>
      <c r="D151" s="73">
        <f>D152</f>
        <v>33350</v>
      </c>
      <c r="E151" s="74">
        <f>E152</f>
        <v>33242.3</v>
      </c>
      <c r="F151" s="263">
        <f>E151/D151</f>
        <v>0.9967706146926537</v>
      </c>
      <c r="G151" s="167"/>
    </row>
    <row r="152" spans="1:7" ht="23.25" customHeight="1">
      <c r="A152" s="75"/>
      <c r="B152" s="151" t="s">
        <v>16</v>
      </c>
      <c r="C152" s="94">
        <f>10000+30200</f>
        <v>40200</v>
      </c>
      <c r="D152" s="77">
        <f>10000+23350</f>
        <v>33350</v>
      </c>
      <c r="E152" s="78">
        <f>9921.25+23321.05</f>
        <v>33242.3</v>
      </c>
      <c r="F152" s="263"/>
      <c r="G152" s="26"/>
    </row>
    <row r="153" spans="1:7" s="21" customFormat="1" ht="24.75" customHeight="1">
      <c r="A153" s="69">
        <v>90015</v>
      </c>
      <c r="B153" s="99" t="s">
        <v>46</v>
      </c>
      <c r="C153" s="92">
        <f>C154+C155</f>
        <v>610000</v>
      </c>
      <c r="D153" s="73">
        <f>D154+D155</f>
        <v>751550</v>
      </c>
      <c r="E153" s="74">
        <f>E154+E155</f>
        <v>738768.6</v>
      </c>
      <c r="F153" s="263">
        <f>E153/D153</f>
        <v>0.9829932805535226</v>
      </c>
      <c r="G153" s="61"/>
    </row>
    <row r="154" spans="1:7" ht="22.5" customHeight="1">
      <c r="A154" s="75"/>
      <c r="B154" s="151" t="s">
        <v>16</v>
      </c>
      <c r="C154" s="94">
        <f>470000+140000</f>
        <v>610000</v>
      </c>
      <c r="D154" s="77">
        <f>5400+527430+12570+189000</f>
        <v>734400</v>
      </c>
      <c r="E154" s="78">
        <f>5343.6+522003.05+12571.22+181695.52</f>
        <v>721613.39</v>
      </c>
      <c r="F154" s="263"/>
      <c r="G154" s="26"/>
    </row>
    <row r="155" spans="1:7" ht="22.5" customHeight="1">
      <c r="A155" s="90"/>
      <c r="B155" s="153" t="s">
        <v>56</v>
      </c>
      <c r="C155" s="93">
        <v>0</v>
      </c>
      <c r="D155" s="79">
        <v>17150</v>
      </c>
      <c r="E155" s="80">
        <v>17155.21</v>
      </c>
      <c r="F155" s="314"/>
      <c r="G155" s="26"/>
    </row>
    <row r="156" spans="1:7" ht="12.75" customHeight="1">
      <c r="A156" s="152" t="s">
        <v>216</v>
      </c>
      <c r="B156" s="183" t="s">
        <v>215</v>
      </c>
      <c r="C156" s="185">
        <v>3</v>
      </c>
      <c r="D156" s="185">
        <v>4</v>
      </c>
      <c r="E156" s="185">
        <v>5</v>
      </c>
      <c r="F156" s="185">
        <v>6</v>
      </c>
      <c r="G156" s="26"/>
    </row>
    <row r="157" spans="1:7" s="21" customFormat="1" ht="20.25" customHeight="1">
      <c r="A157" s="69">
        <v>90095</v>
      </c>
      <c r="B157" s="99" t="s">
        <v>20</v>
      </c>
      <c r="C157" s="92">
        <f>C158+C159</f>
        <v>81000</v>
      </c>
      <c r="D157" s="73">
        <f>D158+D159</f>
        <v>125430</v>
      </c>
      <c r="E157" s="156">
        <f>E158+E159</f>
        <v>122889.89</v>
      </c>
      <c r="F157" s="263">
        <f>E157/D157</f>
        <v>0.9797487841824125</v>
      </c>
      <c r="G157" s="61"/>
    </row>
    <row r="158" spans="1:7" ht="18.75" customHeight="1">
      <c r="A158" s="75"/>
      <c r="B158" s="151" t="s">
        <v>16</v>
      </c>
      <c r="C158" s="94">
        <f>1000+16000+64000</f>
        <v>81000</v>
      </c>
      <c r="D158" s="77">
        <f>23000+83430</f>
        <v>106430</v>
      </c>
      <c r="E158" s="157">
        <f>21353.98+82564.41</f>
        <v>103918.39</v>
      </c>
      <c r="F158" s="263"/>
      <c r="G158" s="26"/>
    </row>
    <row r="159" spans="1:7" ht="18" customHeight="1">
      <c r="A159" s="90"/>
      <c r="B159" s="153" t="s">
        <v>56</v>
      </c>
      <c r="C159" s="93">
        <v>0</v>
      </c>
      <c r="D159" s="79">
        <f>1500+17500</f>
        <v>19000</v>
      </c>
      <c r="E159" s="158">
        <f>1500+17471.5</f>
        <v>18971.5</v>
      </c>
      <c r="F159" s="314"/>
      <c r="G159" s="26"/>
    </row>
    <row r="160" spans="1:7" ht="29.25" customHeight="1">
      <c r="A160" s="81" t="s">
        <v>155</v>
      </c>
      <c r="B160" s="64" t="s">
        <v>47</v>
      </c>
      <c r="C160" s="82">
        <f>C161+C164+C167</f>
        <v>1800000</v>
      </c>
      <c r="D160" s="67">
        <f>D161+D164+D167</f>
        <v>1805000</v>
      </c>
      <c r="E160" s="102">
        <f>E161+E164+E167</f>
        <v>1797394.54</v>
      </c>
      <c r="F160" s="329">
        <f>E160/D160</f>
        <v>0.9957864487534627</v>
      </c>
      <c r="G160" s="26"/>
    </row>
    <row r="161" spans="1:7" s="21" customFormat="1" ht="19.5" customHeight="1">
      <c r="A161" s="84">
        <v>92105</v>
      </c>
      <c r="B161" s="70" t="s">
        <v>95</v>
      </c>
      <c r="C161" s="71">
        <f>C162</f>
        <v>110000</v>
      </c>
      <c r="D161" s="73">
        <f>D162</f>
        <v>115000</v>
      </c>
      <c r="E161" s="103">
        <f>E162</f>
        <v>107394.54000000001</v>
      </c>
      <c r="F161" s="332">
        <f>E161/D161</f>
        <v>0.9338655652173914</v>
      </c>
      <c r="G161" s="61"/>
    </row>
    <row r="162" spans="1:7" ht="19.5" customHeight="1">
      <c r="A162" s="89"/>
      <c r="B162" s="76" t="s">
        <v>14</v>
      </c>
      <c r="C162" s="65">
        <f>10000+5000+4000+86000+5000</f>
        <v>110000</v>
      </c>
      <c r="D162" s="77">
        <f>5000+10000+4600+300+94670+430</f>
        <v>115000</v>
      </c>
      <c r="E162" s="104">
        <f>5000+8000+3000+212.13+90831.41+351</f>
        <v>107394.54000000001</v>
      </c>
      <c r="F162" s="332"/>
      <c r="G162" s="26"/>
    </row>
    <row r="163" spans="1:7" ht="18.75" customHeight="1">
      <c r="A163" s="89"/>
      <c r="B163" s="76" t="s">
        <v>57</v>
      </c>
      <c r="C163" s="65">
        <v>10000</v>
      </c>
      <c r="D163" s="77">
        <f>5000+10000</f>
        <v>15000</v>
      </c>
      <c r="E163" s="104">
        <f>5000+8000</f>
        <v>13000</v>
      </c>
      <c r="F163" s="332"/>
      <c r="G163" s="26"/>
    </row>
    <row r="164" spans="1:7" s="21" customFormat="1" ht="19.5" customHeight="1">
      <c r="A164" s="84">
        <v>92109</v>
      </c>
      <c r="B164" s="70" t="s">
        <v>48</v>
      </c>
      <c r="C164" s="71">
        <f>C165</f>
        <v>1000000</v>
      </c>
      <c r="D164" s="73">
        <f>D165</f>
        <v>1000000</v>
      </c>
      <c r="E164" s="103">
        <f>E165</f>
        <v>1000000</v>
      </c>
      <c r="F164" s="332">
        <f>E164/D164</f>
        <v>1</v>
      </c>
      <c r="G164" s="61"/>
    </row>
    <row r="165" spans="1:7" ht="18.75" customHeight="1">
      <c r="A165" s="89"/>
      <c r="B165" s="76" t="s">
        <v>14</v>
      </c>
      <c r="C165" s="65">
        <v>1000000</v>
      </c>
      <c r="D165" s="77">
        <v>1000000</v>
      </c>
      <c r="E165" s="104">
        <v>1000000</v>
      </c>
      <c r="F165" s="332"/>
      <c r="G165" s="26"/>
    </row>
    <row r="166" spans="1:7" ht="18" customHeight="1">
      <c r="A166" s="89"/>
      <c r="B166" s="76" t="s">
        <v>57</v>
      </c>
      <c r="C166" s="65">
        <v>1000000</v>
      </c>
      <c r="D166" s="77">
        <v>1000000</v>
      </c>
      <c r="E166" s="104">
        <v>1000000</v>
      </c>
      <c r="F166" s="332"/>
      <c r="G166" s="26"/>
    </row>
    <row r="167" spans="1:7" s="21" customFormat="1" ht="19.5" customHeight="1">
      <c r="A167" s="84">
        <v>92116</v>
      </c>
      <c r="B167" s="70" t="s">
        <v>49</v>
      </c>
      <c r="C167" s="71">
        <f>C168</f>
        <v>690000</v>
      </c>
      <c r="D167" s="73">
        <f>D168</f>
        <v>690000</v>
      </c>
      <c r="E167" s="103">
        <f>E168</f>
        <v>690000</v>
      </c>
      <c r="F167" s="332">
        <f>E167/D167</f>
        <v>1</v>
      </c>
      <c r="G167" s="61"/>
    </row>
    <row r="168" spans="1:7" ht="18" customHeight="1">
      <c r="A168" s="89"/>
      <c r="B168" s="76" t="s">
        <v>14</v>
      </c>
      <c r="C168" s="65">
        <v>690000</v>
      </c>
      <c r="D168" s="77">
        <v>690000</v>
      </c>
      <c r="E168" s="104">
        <v>690000</v>
      </c>
      <c r="F168" s="332"/>
      <c r="G168" s="26"/>
    </row>
    <row r="169" spans="1:7" ht="18.75" customHeight="1">
      <c r="A169" s="85"/>
      <c r="B169" s="86" t="s">
        <v>57</v>
      </c>
      <c r="C169" s="87">
        <v>690000</v>
      </c>
      <c r="D169" s="79">
        <v>690000</v>
      </c>
      <c r="E169" s="115">
        <v>690000</v>
      </c>
      <c r="F169" s="333"/>
      <c r="G169" s="26"/>
    </row>
    <row r="170" spans="1:7" ht="19.5" customHeight="1">
      <c r="A170" s="63">
        <v>926</v>
      </c>
      <c r="B170" s="64" t="s">
        <v>10</v>
      </c>
      <c r="C170" s="82">
        <f>C171+C174+C177</f>
        <v>6441166</v>
      </c>
      <c r="D170" s="67">
        <f>D171+D174+D177</f>
        <v>7569166</v>
      </c>
      <c r="E170" s="102">
        <f>E171+E174+E177</f>
        <v>7484674.859999999</v>
      </c>
      <c r="F170" s="329">
        <f>E170/D170</f>
        <v>0.9888374571253953</v>
      </c>
      <c r="G170" s="26"/>
    </row>
    <row r="171" spans="1:7" s="21" customFormat="1" ht="19.5" customHeight="1">
      <c r="A171" s="69">
        <v>92604</v>
      </c>
      <c r="B171" s="70" t="s">
        <v>50</v>
      </c>
      <c r="C171" s="71">
        <f>C172</f>
        <v>884866</v>
      </c>
      <c r="D171" s="73">
        <f>D172</f>
        <v>894185</v>
      </c>
      <c r="E171" s="103">
        <f>E172</f>
        <v>858474.2500000001</v>
      </c>
      <c r="F171" s="332">
        <f>E171/D171</f>
        <v>0.9600633537802581</v>
      </c>
      <c r="G171" s="61"/>
    </row>
    <row r="172" spans="1:7" ht="18" customHeight="1">
      <c r="A172" s="75"/>
      <c r="B172" s="76" t="s">
        <v>14</v>
      </c>
      <c r="C172" s="65">
        <f>8216+244856+15456+46154+6378+119589+235100+70000+100265+2300+4500+10052+22000</f>
        <v>884866</v>
      </c>
      <c r="D172" s="77">
        <f>10016+272243+15456+51252+7023+117663+213100+66000+98866+4393+4500+11673+22000</f>
        <v>894185</v>
      </c>
      <c r="E172" s="104">
        <f>9963.98+272242.04+14398.33+50614.33+6994.11+117117.19+185303.7+65129.42+97669.72+2887.06+3080.8+11672.67+21380+20.9</f>
        <v>858474.2500000001</v>
      </c>
      <c r="F172" s="332"/>
      <c r="G172" s="26"/>
    </row>
    <row r="173" spans="1:7" ht="18.75" customHeight="1">
      <c r="A173" s="75"/>
      <c r="B173" s="76" t="s">
        <v>15</v>
      </c>
      <c r="C173" s="65">
        <f>244856+15456+46154+6378</f>
        <v>312844</v>
      </c>
      <c r="D173" s="77">
        <f>272243+15456+51252+7023</f>
        <v>345974</v>
      </c>
      <c r="E173" s="104">
        <f>272242.04+14398.33+50614.33+6994.11</f>
        <v>344248.81</v>
      </c>
      <c r="F173" s="332"/>
      <c r="G173" s="26"/>
    </row>
    <row r="174" spans="1:7" s="21" customFormat="1" ht="20.25" customHeight="1">
      <c r="A174" s="69">
        <v>92605</v>
      </c>
      <c r="B174" s="70" t="s">
        <v>51</v>
      </c>
      <c r="C174" s="71">
        <f>C175</f>
        <v>50000</v>
      </c>
      <c r="D174" s="73">
        <f>D175</f>
        <v>65000</v>
      </c>
      <c r="E174" s="103">
        <f>E175</f>
        <v>64997</v>
      </c>
      <c r="F174" s="332">
        <f>E174/D174</f>
        <v>0.9999538461538462</v>
      </c>
      <c r="G174" s="61"/>
    </row>
    <row r="175" spans="1:7" ht="19.5" customHeight="1">
      <c r="A175" s="75"/>
      <c r="B175" s="76" t="s">
        <v>14</v>
      </c>
      <c r="C175" s="65">
        <f>45000+5000</f>
        <v>50000</v>
      </c>
      <c r="D175" s="77">
        <f>60000+5000</f>
        <v>65000</v>
      </c>
      <c r="E175" s="104">
        <f>60000+4997</f>
        <v>64997</v>
      </c>
      <c r="F175" s="332"/>
      <c r="G175" s="26"/>
    </row>
    <row r="176" spans="1:7" s="34" customFormat="1" ht="18.75" customHeight="1">
      <c r="A176" s="75"/>
      <c r="B176" s="76" t="s">
        <v>57</v>
      </c>
      <c r="C176" s="65">
        <v>45000</v>
      </c>
      <c r="D176" s="77">
        <v>60000</v>
      </c>
      <c r="E176" s="104">
        <v>60000</v>
      </c>
      <c r="F176" s="332"/>
      <c r="G176" s="26"/>
    </row>
    <row r="177" spans="1:7" s="21" customFormat="1" ht="21" customHeight="1">
      <c r="A177" s="69">
        <v>92695</v>
      </c>
      <c r="B177" s="70" t="s">
        <v>20</v>
      </c>
      <c r="C177" s="71">
        <f>C178</f>
        <v>5506300</v>
      </c>
      <c r="D177" s="73">
        <f>D178</f>
        <v>6609981</v>
      </c>
      <c r="E177" s="103">
        <f>E178</f>
        <v>6561203.609999999</v>
      </c>
      <c r="F177" s="332">
        <f>E177/D177</f>
        <v>0.9926206459594966</v>
      </c>
      <c r="G177" s="61"/>
    </row>
    <row r="178" spans="1:7" ht="17.25" customHeight="1">
      <c r="A178" s="90"/>
      <c r="B178" s="86" t="s">
        <v>18</v>
      </c>
      <c r="C178" s="87">
        <f>5423800+82500</f>
        <v>5506300</v>
      </c>
      <c r="D178" s="79">
        <f>6549532+60449</f>
        <v>6609981</v>
      </c>
      <c r="E178" s="115">
        <f>6501429.22+59774.39</f>
        <v>6561203.609999999</v>
      </c>
      <c r="F178" s="333"/>
      <c r="G178" s="26"/>
    </row>
    <row r="179" spans="1:6" s="140" customFormat="1" ht="22.5" customHeight="1">
      <c r="A179" s="510" t="s">
        <v>267</v>
      </c>
      <c r="B179" s="511"/>
      <c r="C179" s="142">
        <f>C6+C11+C14+C20+C25+C30+C46+C52+C62+C66+C70+C73+C96+C111+C133+C137+C143+C160+C170</f>
        <v>37040417</v>
      </c>
      <c r="D179" s="143">
        <f>D6+D11+D14+D20+D25+D30+D46+D52+D62+D66+D70+D73+D96+D111+D133+D137+D143+D160+D170</f>
        <v>39280944</v>
      </c>
      <c r="E179" s="160">
        <f>E6+E11+E14+E20+E25+E30+E46+E52+E62+E66+E70+E73+E96+E111+E133+E137+E143+E160+E170</f>
        <v>38275724.61</v>
      </c>
      <c r="F179" s="432">
        <f>E179/D179</f>
        <v>0.9744094900061465</v>
      </c>
    </row>
    <row r="180" spans="1:7" ht="16.5" customHeight="1">
      <c r="A180" s="105"/>
      <c r="B180" s="106"/>
      <c r="C180" s="107"/>
      <c r="D180" s="106"/>
      <c r="E180" s="106"/>
      <c r="F180" s="106"/>
      <c r="G180" s="26"/>
    </row>
    <row r="181" spans="1:7" ht="22.5" customHeight="1">
      <c r="A181" s="105"/>
      <c r="B181" s="106"/>
      <c r="C181" s="107"/>
      <c r="D181" s="107"/>
      <c r="E181" s="106"/>
      <c r="F181" s="106"/>
      <c r="G181" s="26"/>
    </row>
    <row r="182" spans="1:6" ht="14.25">
      <c r="A182" s="105"/>
      <c r="B182" s="106"/>
      <c r="C182" s="107"/>
      <c r="D182" s="106"/>
      <c r="E182" s="106"/>
      <c r="F182" s="106"/>
    </row>
    <row r="183" spans="1:6" ht="14.25">
      <c r="A183" s="105"/>
      <c r="B183" s="106"/>
      <c r="C183" s="107"/>
      <c r="D183" s="106"/>
      <c r="E183" s="106"/>
      <c r="F183" s="106"/>
    </row>
    <row r="184" spans="1:6" ht="14.25">
      <c r="A184" s="105"/>
      <c r="B184" s="106"/>
      <c r="C184" s="107"/>
      <c r="D184" s="106"/>
      <c r="E184" s="106"/>
      <c r="F184" s="106"/>
    </row>
    <row r="185" spans="1:6" ht="14.25">
      <c r="A185" s="105"/>
      <c r="B185" s="106"/>
      <c r="C185" s="107"/>
      <c r="D185" s="106"/>
      <c r="E185" s="106"/>
      <c r="F185" s="106"/>
    </row>
    <row r="186" spans="1:3" ht="12.75">
      <c r="A186" s="5"/>
      <c r="C186" s="1"/>
    </row>
    <row r="187" spans="1:3" ht="12.75">
      <c r="A187" s="5"/>
      <c r="C187" s="1"/>
    </row>
    <row r="188" spans="1:3" ht="12.75">
      <c r="A188" s="5"/>
      <c r="C188" s="1"/>
    </row>
    <row r="189" spans="1:3" ht="12.75">
      <c r="A189" s="5"/>
      <c r="C189" s="1"/>
    </row>
    <row r="190" spans="1:3" ht="12.75">
      <c r="A190" s="5"/>
      <c r="C190" s="1"/>
    </row>
    <row r="191" spans="1:3" ht="12.75">
      <c r="A191" s="5"/>
      <c r="C191" s="1"/>
    </row>
    <row r="192" spans="1:3" ht="12.75">
      <c r="A192" s="5"/>
      <c r="C192" s="1"/>
    </row>
    <row r="193" spans="1:3" ht="12.75">
      <c r="A193" s="5"/>
      <c r="C193" s="1"/>
    </row>
    <row r="194" spans="1:3" ht="12.75">
      <c r="A194" s="5"/>
      <c r="C194" s="1"/>
    </row>
    <row r="195" spans="1:3" ht="12.75">
      <c r="A195" s="5"/>
      <c r="C195" s="1"/>
    </row>
    <row r="196" ht="12.75">
      <c r="A196" s="5"/>
    </row>
    <row r="197" ht="12.75">
      <c r="A197" s="5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</sheetData>
  <mergeCells count="8">
    <mergeCell ref="A1:F1"/>
    <mergeCell ref="A179:B179"/>
    <mergeCell ref="A3:A4"/>
    <mergeCell ref="A2:F2"/>
    <mergeCell ref="E3:F3"/>
    <mergeCell ref="B3:B4"/>
    <mergeCell ref="C3:C4"/>
    <mergeCell ref="D3:D4"/>
  </mergeCells>
  <printOptions/>
  <pageMargins left="0.984251968503937" right="0.98425196850393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3" sqref="A3:E3"/>
    </sheetView>
  </sheetViews>
  <sheetFormatPr defaultColWidth="9.00390625" defaultRowHeight="12.75"/>
  <cols>
    <col min="1" max="1" width="13.25390625" style="7" customWidth="1"/>
    <col min="2" max="2" width="69.00390625" style="13" customWidth="1"/>
    <col min="3" max="3" width="15.75390625" style="13" customWidth="1"/>
    <col min="4" max="4" width="15.625" style="13" customWidth="1"/>
    <col min="5" max="5" width="16.75390625" style="15" customWidth="1"/>
  </cols>
  <sheetData>
    <row r="1" spans="1:5" ht="16.5" customHeight="1">
      <c r="A1" s="492" t="s">
        <v>220</v>
      </c>
      <c r="B1" s="492"/>
      <c r="C1" s="492"/>
      <c r="D1" s="492"/>
      <c r="E1" s="492"/>
    </row>
    <row r="2" spans="1:5" s="61" customFormat="1" ht="24.75" customHeight="1">
      <c r="A2" s="486" t="s">
        <v>213</v>
      </c>
      <c r="B2" s="486"/>
      <c r="C2" s="486"/>
      <c r="D2" s="486"/>
      <c r="E2" s="486"/>
    </row>
    <row r="3" spans="1:5" ht="24.75" customHeight="1">
      <c r="A3" s="485" t="s">
        <v>347</v>
      </c>
      <c r="B3" s="485"/>
      <c r="C3" s="485"/>
      <c r="D3" s="485"/>
      <c r="E3" s="485"/>
    </row>
    <row r="4" spans="1:10" s="42" customFormat="1" ht="31.5" customHeight="1">
      <c r="A4" s="27" t="s">
        <v>52</v>
      </c>
      <c r="B4" s="36" t="s">
        <v>0</v>
      </c>
      <c r="C4" s="36" t="s">
        <v>104</v>
      </c>
      <c r="D4" s="41" t="s">
        <v>100</v>
      </c>
      <c r="E4" s="35" t="s">
        <v>101</v>
      </c>
      <c r="F4" s="17"/>
      <c r="G4" s="17"/>
      <c r="H4" s="17"/>
      <c r="I4" s="17"/>
      <c r="J4" s="17"/>
    </row>
    <row r="5" spans="1:10" s="7" customFormat="1" ht="30" customHeight="1">
      <c r="A5" s="493" t="s">
        <v>313</v>
      </c>
      <c r="B5" s="493"/>
      <c r="C5" s="493"/>
      <c r="D5" s="493"/>
      <c r="E5" s="493"/>
      <c r="F5" s="11"/>
      <c r="G5" s="11"/>
      <c r="H5" s="11"/>
      <c r="I5" s="11"/>
      <c r="J5" s="11"/>
    </row>
    <row r="6" spans="1:10" s="7" customFormat="1" ht="28.5" customHeight="1">
      <c r="A6" s="212" t="s">
        <v>53</v>
      </c>
      <c r="B6" s="213" t="s">
        <v>233</v>
      </c>
      <c r="C6" s="348">
        <f aca="true" t="shared" si="0" ref="C6:E7">C7</f>
        <v>0</v>
      </c>
      <c r="D6" s="348">
        <f t="shared" si="0"/>
        <v>1582</v>
      </c>
      <c r="E6" s="349">
        <f t="shared" si="0"/>
        <v>1580.6</v>
      </c>
      <c r="F6" s="11"/>
      <c r="G6" s="11"/>
      <c r="H6" s="11"/>
      <c r="I6" s="11"/>
      <c r="J6" s="11"/>
    </row>
    <row r="7" spans="1:10" s="217" customFormat="1" ht="24" customHeight="1">
      <c r="A7" s="214" t="s">
        <v>55</v>
      </c>
      <c r="B7" s="215" t="s">
        <v>20</v>
      </c>
      <c r="C7" s="219">
        <f t="shared" si="0"/>
        <v>0</v>
      </c>
      <c r="D7" s="219">
        <f t="shared" si="0"/>
        <v>1582</v>
      </c>
      <c r="E7" s="218">
        <f t="shared" si="0"/>
        <v>1580.6</v>
      </c>
      <c r="F7" s="216"/>
      <c r="G7" s="216"/>
      <c r="H7" s="216"/>
      <c r="I7" s="216"/>
      <c r="J7" s="216"/>
    </row>
    <row r="8" spans="1:10" s="7" customFormat="1" ht="39" customHeight="1">
      <c r="A8" s="50"/>
      <c r="B8" s="29" t="s">
        <v>235</v>
      </c>
      <c r="C8" s="350">
        <v>0</v>
      </c>
      <c r="D8" s="350">
        <v>1582</v>
      </c>
      <c r="E8" s="351">
        <v>1580.6</v>
      </c>
      <c r="F8" s="11"/>
      <c r="G8" s="11"/>
      <c r="H8" s="11"/>
      <c r="I8" s="11"/>
      <c r="J8" s="11"/>
    </row>
    <row r="9" spans="1:5" ht="28.5" customHeight="1">
      <c r="A9" s="46">
        <v>750</v>
      </c>
      <c r="B9" s="3" t="s">
        <v>2</v>
      </c>
      <c r="C9" s="352">
        <f aca="true" t="shared" si="1" ref="C9:E10">C10</f>
        <v>120858</v>
      </c>
      <c r="D9" s="353">
        <f t="shared" si="1"/>
        <v>120858</v>
      </c>
      <c r="E9" s="354">
        <f t="shared" si="1"/>
        <v>120858</v>
      </c>
    </row>
    <row r="10" spans="1:5" s="21" customFormat="1" ht="24" customHeight="1">
      <c r="A10" s="48">
        <v>75011</v>
      </c>
      <c r="B10" s="30" t="s">
        <v>87</v>
      </c>
      <c r="C10" s="355">
        <f t="shared" si="1"/>
        <v>120858</v>
      </c>
      <c r="D10" s="219">
        <f t="shared" si="1"/>
        <v>120858</v>
      </c>
      <c r="E10" s="218">
        <f t="shared" si="1"/>
        <v>120858</v>
      </c>
    </row>
    <row r="11" spans="1:5" ht="39" customHeight="1">
      <c r="A11" s="46"/>
      <c r="B11" s="193" t="s">
        <v>235</v>
      </c>
      <c r="C11" s="352">
        <v>120858</v>
      </c>
      <c r="D11" s="353">
        <v>120858</v>
      </c>
      <c r="E11" s="354">
        <v>120858</v>
      </c>
    </row>
    <row r="12" spans="1:5" ht="36" customHeight="1">
      <c r="A12" s="49">
        <v>751</v>
      </c>
      <c r="B12" s="129" t="s">
        <v>3</v>
      </c>
      <c r="C12" s="356">
        <f>C13+C15</f>
        <v>2712</v>
      </c>
      <c r="D12" s="357">
        <f>D13+D15</f>
        <v>56092</v>
      </c>
      <c r="E12" s="358">
        <f>E13+E15</f>
        <v>55022</v>
      </c>
    </row>
    <row r="13" spans="1:5" s="21" customFormat="1" ht="24" customHeight="1">
      <c r="A13" s="48">
        <v>75101</v>
      </c>
      <c r="B13" s="128" t="s">
        <v>4</v>
      </c>
      <c r="C13" s="359">
        <f>C14</f>
        <v>2712</v>
      </c>
      <c r="D13" s="219">
        <f>D14</f>
        <v>2712</v>
      </c>
      <c r="E13" s="218">
        <f>E14</f>
        <v>2712</v>
      </c>
    </row>
    <row r="14" spans="1:5" s="21" customFormat="1" ht="39" customHeight="1">
      <c r="A14" s="48"/>
      <c r="B14" s="130" t="s">
        <v>236</v>
      </c>
      <c r="C14" s="360">
        <v>2712</v>
      </c>
      <c r="D14" s="353">
        <v>2712</v>
      </c>
      <c r="E14" s="354">
        <v>2712</v>
      </c>
    </row>
    <row r="15" spans="1:5" s="21" customFormat="1" ht="39" customHeight="1">
      <c r="A15" s="48">
        <v>75109</v>
      </c>
      <c r="B15" s="128" t="s">
        <v>234</v>
      </c>
      <c r="C15" s="359">
        <f>C16</f>
        <v>0</v>
      </c>
      <c r="D15" s="219">
        <f>D16</f>
        <v>53380</v>
      </c>
      <c r="E15" s="218">
        <f>E16</f>
        <v>52310</v>
      </c>
    </row>
    <row r="16" spans="1:5" s="21" customFormat="1" ht="39" customHeight="1">
      <c r="A16" s="228"/>
      <c r="B16" s="229" t="s">
        <v>236</v>
      </c>
      <c r="C16" s="361">
        <v>0</v>
      </c>
      <c r="D16" s="350">
        <v>53380</v>
      </c>
      <c r="E16" s="351">
        <v>52310</v>
      </c>
    </row>
    <row r="17" spans="1:5" ht="33.75" customHeight="1">
      <c r="A17" s="49">
        <v>852</v>
      </c>
      <c r="B17" s="175" t="s">
        <v>8</v>
      </c>
      <c r="C17" s="362">
        <f>C18+C20+C22+C24+C26</f>
        <v>4082500</v>
      </c>
      <c r="D17" s="357">
        <f>D18+D20+D22+D24+D26</f>
        <v>3915191</v>
      </c>
      <c r="E17" s="358">
        <f>E18+E20+E22+E24+E26</f>
        <v>3852143.12</v>
      </c>
    </row>
    <row r="18" spans="1:5" s="21" customFormat="1" ht="45" customHeight="1">
      <c r="A18" s="48">
        <v>85212</v>
      </c>
      <c r="B18" s="139" t="s">
        <v>208</v>
      </c>
      <c r="C18" s="355">
        <f>C19</f>
        <v>3711000</v>
      </c>
      <c r="D18" s="219">
        <f>D19</f>
        <v>3528500</v>
      </c>
      <c r="E18" s="218">
        <f>E19</f>
        <v>3471105.71</v>
      </c>
    </row>
    <row r="19" spans="1:5" s="21" customFormat="1" ht="45" customHeight="1">
      <c r="A19" s="48"/>
      <c r="B19" s="29" t="s">
        <v>236</v>
      </c>
      <c r="C19" s="352">
        <v>3711000</v>
      </c>
      <c r="D19" s="353">
        <v>3528500</v>
      </c>
      <c r="E19" s="354">
        <v>3471105.71</v>
      </c>
    </row>
    <row r="20" spans="1:5" s="21" customFormat="1" ht="45" customHeight="1">
      <c r="A20" s="48">
        <v>85213</v>
      </c>
      <c r="B20" s="139" t="s">
        <v>141</v>
      </c>
      <c r="C20" s="355">
        <f>C21</f>
        <v>27500</v>
      </c>
      <c r="D20" s="219">
        <f>D21</f>
        <v>22590</v>
      </c>
      <c r="E20" s="218">
        <f>E21</f>
        <v>22093.95</v>
      </c>
    </row>
    <row r="21" spans="1:5" ht="45" customHeight="1">
      <c r="A21" s="46"/>
      <c r="B21" s="29" t="s">
        <v>236</v>
      </c>
      <c r="C21" s="352">
        <v>27500</v>
      </c>
      <c r="D21" s="353">
        <v>22590</v>
      </c>
      <c r="E21" s="354">
        <v>22093.95</v>
      </c>
    </row>
    <row r="22" spans="1:5" s="21" customFormat="1" ht="30" customHeight="1">
      <c r="A22" s="48">
        <v>85214</v>
      </c>
      <c r="B22" s="139" t="s">
        <v>149</v>
      </c>
      <c r="C22" s="355">
        <f>C23</f>
        <v>221000</v>
      </c>
      <c r="D22" s="219">
        <f>D23</f>
        <v>247162</v>
      </c>
      <c r="E22" s="218">
        <f>E23</f>
        <v>244143.66</v>
      </c>
    </row>
    <row r="23" spans="1:5" ht="45" customHeight="1">
      <c r="A23" s="46"/>
      <c r="B23" s="29" t="s">
        <v>236</v>
      </c>
      <c r="C23" s="352">
        <v>221000</v>
      </c>
      <c r="D23" s="353">
        <v>247162</v>
      </c>
      <c r="E23" s="354">
        <v>244143.66</v>
      </c>
    </row>
    <row r="24" spans="1:5" s="21" customFormat="1" ht="30" customHeight="1">
      <c r="A24" s="48">
        <v>85228</v>
      </c>
      <c r="B24" s="176" t="s">
        <v>150</v>
      </c>
      <c r="C24" s="355">
        <f>C25</f>
        <v>123000</v>
      </c>
      <c r="D24" s="219">
        <f>D25</f>
        <v>114810</v>
      </c>
      <c r="E24" s="218">
        <f>E25</f>
        <v>114799.8</v>
      </c>
    </row>
    <row r="25" spans="1:5" ht="45" customHeight="1">
      <c r="A25" s="46"/>
      <c r="B25" s="29" t="s">
        <v>236</v>
      </c>
      <c r="C25" s="352">
        <v>123000</v>
      </c>
      <c r="D25" s="353">
        <v>114810</v>
      </c>
      <c r="E25" s="354">
        <v>114799.8</v>
      </c>
    </row>
    <row r="26" spans="1:5" s="220" customFormat="1" ht="24" customHeight="1">
      <c r="A26" s="204">
        <v>85278</v>
      </c>
      <c r="B26" s="230" t="s">
        <v>237</v>
      </c>
      <c r="C26" s="363">
        <f>C27</f>
        <v>0</v>
      </c>
      <c r="D26" s="363">
        <f>D27</f>
        <v>2129</v>
      </c>
      <c r="E26" s="364">
        <f>E27</f>
        <v>0</v>
      </c>
    </row>
    <row r="27" spans="1:5" s="55" customFormat="1" ht="45" customHeight="1">
      <c r="A27" s="221"/>
      <c r="B27" s="222" t="s">
        <v>236</v>
      </c>
      <c r="C27" s="365">
        <v>0</v>
      </c>
      <c r="D27" s="365">
        <v>2129</v>
      </c>
      <c r="E27" s="366">
        <v>0</v>
      </c>
    </row>
    <row r="28" spans="1:5" s="140" customFormat="1" ht="40.5" customHeight="1">
      <c r="A28" s="519" t="s">
        <v>269</v>
      </c>
      <c r="B28" s="520"/>
      <c r="C28" s="367">
        <f>C6+C9+C12+C17</f>
        <v>4206070</v>
      </c>
      <c r="D28" s="368">
        <f>D6+D9+D12+D17</f>
        <v>4093723</v>
      </c>
      <c r="E28" s="369">
        <f>E6+E9+E12+E17</f>
        <v>4029603.72</v>
      </c>
    </row>
    <row r="29" spans="1:5" s="43" customFormat="1" ht="30" customHeight="1">
      <c r="A29" s="494" t="s">
        <v>13</v>
      </c>
      <c r="B29" s="494"/>
      <c r="C29" s="494"/>
      <c r="D29" s="494"/>
      <c r="E29" s="494"/>
    </row>
    <row r="30" spans="1:5" s="224" customFormat="1" ht="28.5" customHeight="1">
      <c r="A30" s="223" t="s">
        <v>53</v>
      </c>
      <c r="B30" s="213" t="s">
        <v>233</v>
      </c>
      <c r="C30" s="348">
        <f aca="true" t="shared" si="2" ref="C30:E31">C31</f>
        <v>0</v>
      </c>
      <c r="D30" s="348">
        <f t="shared" si="2"/>
        <v>1582</v>
      </c>
      <c r="E30" s="349">
        <f t="shared" si="2"/>
        <v>1580.6</v>
      </c>
    </row>
    <row r="31" spans="1:5" s="226" customFormat="1" ht="24" customHeight="1">
      <c r="A31" s="225" t="s">
        <v>55</v>
      </c>
      <c r="B31" s="215" t="s">
        <v>20</v>
      </c>
      <c r="C31" s="219">
        <f t="shared" si="2"/>
        <v>0</v>
      </c>
      <c r="D31" s="219">
        <f t="shared" si="2"/>
        <v>1582</v>
      </c>
      <c r="E31" s="218">
        <f t="shared" si="2"/>
        <v>1580.6</v>
      </c>
    </row>
    <row r="32" spans="1:5" s="224" customFormat="1" ht="24" customHeight="1">
      <c r="A32" s="221"/>
      <c r="B32" s="227" t="s">
        <v>16</v>
      </c>
      <c r="C32" s="350">
        <v>0</v>
      </c>
      <c r="D32" s="350">
        <f>31+1551</f>
        <v>1582</v>
      </c>
      <c r="E32" s="351">
        <f>31+1549.6</f>
        <v>1580.6</v>
      </c>
    </row>
    <row r="33" spans="1:5" ht="28.5" customHeight="1">
      <c r="A33" s="49">
        <v>750</v>
      </c>
      <c r="B33" s="44" t="s">
        <v>2</v>
      </c>
      <c r="C33" s="370">
        <f aca="true" t="shared" si="3" ref="C33:E34">C34</f>
        <v>120858</v>
      </c>
      <c r="D33" s="357">
        <f t="shared" si="3"/>
        <v>120858</v>
      </c>
      <c r="E33" s="358">
        <f t="shared" si="3"/>
        <v>120858</v>
      </c>
    </row>
    <row r="34" spans="1:5" s="21" customFormat="1" ht="24" customHeight="1">
      <c r="A34" s="48">
        <v>75011</v>
      </c>
      <c r="B34" s="51" t="s">
        <v>87</v>
      </c>
      <c r="C34" s="371">
        <f>C35</f>
        <v>120858</v>
      </c>
      <c r="D34" s="219">
        <f t="shared" si="3"/>
        <v>120858</v>
      </c>
      <c r="E34" s="218">
        <f t="shared" si="3"/>
        <v>120858</v>
      </c>
    </row>
    <row r="35" spans="1:5" ht="24" customHeight="1">
      <c r="A35" s="46"/>
      <c r="B35" s="45" t="s">
        <v>14</v>
      </c>
      <c r="C35" s="353">
        <f aca="true" t="shared" si="4" ref="C35:E36">100570+17759+2529</f>
        <v>120858</v>
      </c>
      <c r="D35" s="353">
        <f t="shared" si="4"/>
        <v>120858</v>
      </c>
      <c r="E35" s="354">
        <f t="shared" si="4"/>
        <v>120858</v>
      </c>
    </row>
    <row r="36" spans="1:5" ht="24" customHeight="1">
      <c r="A36" s="50"/>
      <c r="B36" s="47" t="s">
        <v>15</v>
      </c>
      <c r="C36" s="350">
        <f t="shared" si="4"/>
        <v>120858</v>
      </c>
      <c r="D36" s="350">
        <f t="shared" si="4"/>
        <v>120858</v>
      </c>
      <c r="E36" s="354">
        <f t="shared" si="4"/>
        <v>120858</v>
      </c>
    </row>
    <row r="37" spans="1:5" s="19" customFormat="1" ht="35.25" customHeight="1">
      <c r="A37" s="49">
        <v>751</v>
      </c>
      <c r="B37" s="175" t="s">
        <v>3</v>
      </c>
      <c r="C37" s="372">
        <f>C38+C40</f>
        <v>2712</v>
      </c>
      <c r="D37" s="357">
        <f>D38+D40</f>
        <v>56092</v>
      </c>
      <c r="E37" s="358">
        <f>E38+E40</f>
        <v>55022</v>
      </c>
    </row>
    <row r="38" spans="1:5" s="21" customFormat="1" ht="24" customHeight="1">
      <c r="A38" s="48">
        <v>75101</v>
      </c>
      <c r="B38" s="176" t="s">
        <v>4</v>
      </c>
      <c r="C38" s="373">
        <f>C39</f>
        <v>2712</v>
      </c>
      <c r="D38" s="219">
        <f>D39</f>
        <v>2712</v>
      </c>
      <c r="E38" s="218">
        <f>E39</f>
        <v>2712</v>
      </c>
    </row>
    <row r="39" spans="1:5" s="21" customFormat="1" ht="24" customHeight="1">
      <c r="A39" s="48"/>
      <c r="B39" s="29" t="s">
        <v>16</v>
      </c>
      <c r="C39" s="374">
        <f>1000+1712</f>
        <v>2712</v>
      </c>
      <c r="D39" s="353">
        <f>1000+1712</f>
        <v>2712</v>
      </c>
      <c r="E39" s="354">
        <f>1000+1712</f>
        <v>2712</v>
      </c>
    </row>
    <row r="40" spans="1:5" s="21" customFormat="1" ht="39" customHeight="1">
      <c r="A40" s="48">
        <v>75109</v>
      </c>
      <c r="B40" s="128" t="s">
        <v>234</v>
      </c>
      <c r="C40" s="373">
        <f>C41</f>
        <v>0</v>
      </c>
      <c r="D40" s="219">
        <f>D41</f>
        <v>53380</v>
      </c>
      <c r="E40" s="218">
        <f>E41</f>
        <v>52310</v>
      </c>
    </row>
    <row r="41" spans="1:5" ht="24" customHeight="1">
      <c r="A41" s="50"/>
      <c r="B41" s="37" t="s">
        <v>16</v>
      </c>
      <c r="C41" s="375">
        <v>0</v>
      </c>
      <c r="D41" s="376">
        <f>30380+1914+270+13849+3497+3470</f>
        <v>53380</v>
      </c>
      <c r="E41" s="351">
        <f>29310+1913.24+269.8+13851.1+3496.28+3469.58</f>
        <v>52310</v>
      </c>
    </row>
    <row r="42" spans="1:5" s="19" customFormat="1" ht="28.5" customHeight="1">
      <c r="A42" s="49">
        <v>852</v>
      </c>
      <c r="B42" s="175" t="s">
        <v>8</v>
      </c>
      <c r="C42" s="372">
        <f>C43+C46+C48+C50+C53</f>
        <v>4082500</v>
      </c>
      <c r="D42" s="357">
        <f>D43+D46+D48+D50+D53</f>
        <v>3915191</v>
      </c>
      <c r="E42" s="358">
        <f>E43+E46+E48+E50+E53</f>
        <v>3852143.12</v>
      </c>
    </row>
    <row r="43" spans="1:5" s="21" customFormat="1" ht="39" customHeight="1">
      <c r="A43" s="48">
        <v>85212</v>
      </c>
      <c r="B43" s="176" t="s">
        <v>217</v>
      </c>
      <c r="C43" s="373">
        <f>C44</f>
        <v>3711000</v>
      </c>
      <c r="D43" s="219">
        <f>D44</f>
        <v>3528500</v>
      </c>
      <c r="E43" s="218">
        <f>E44</f>
        <v>3471105.71</v>
      </c>
    </row>
    <row r="44" spans="1:5" ht="24" customHeight="1">
      <c r="A44" s="46"/>
      <c r="B44" s="29" t="s">
        <v>14</v>
      </c>
      <c r="C44" s="374">
        <f>3588455+50320+4500+46270+1455+10000+10000</f>
        <v>3711000</v>
      </c>
      <c r="D44" s="352">
        <f>3405955+58470+3655+46270+1655+860+2700+8935</f>
        <v>3528500</v>
      </c>
      <c r="E44" s="354">
        <f>3357975.55+58433.9+3654.63+38471.83+1492.31+853.41+2625.17+7598.91</f>
        <v>3471105.71</v>
      </c>
    </row>
    <row r="45" spans="1:5" ht="24" customHeight="1">
      <c r="A45" s="50"/>
      <c r="B45" s="37" t="s">
        <v>15</v>
      </c>
      <c r="C45" s="377">
        <f>50320+4500+46270+1455</f>
        <v>102545</v>
      </c>
      <c r="D45" s="378">
        <f>58470+3655+46270+1655+860</f>
        <v>110910</v>
      </c>
      <c r="E45" s="351">
        <f>58433.9+3654.63+38471.83+1492.31+853.41</f>
        <v>102906.08</v>
      </c>
    </row>
    <row r="46" spans="1:5" s="61" customFormat="1" ht="39" customHeight="1">
      <c r="A46" s="336">
        <v>85213</v>
      </c>
      <c r="B46" s="28" t="s">
        <v>244</v>
      </c>
      <c r="C46" s="379">
        <f>C47</f>
        <v>27500</v>
      </c>
      <c r="D46" s="380">
        <f>D47</f>
        <v>22590</v>
      </c>
      <c r="E46" s="381">
        <f>E47</f>
        <v>22093.95</v>
      </c>
    </row>
    <row r="47" spans="1:5" ht="24" customHeight="1">
      <c r="A47" s="46"/>
      <c r="B47" s="29" t="s">
        <v>16</v>
      </c>
      <c r="C47" s="374">
        <v>27500</v>
      </c>
      <c r="D47" s="382">
        <v>22590</v>
      </c>
      <c r="E47" s="354">
        <v>22093.95</v>
      </c>
    </row>
    <row r="48" spans="1:5" s="21" customFormat="1" ht="24" customHeight="1">
      <c r="A48" s="48">
        <v>85214</v>
      </c>
      <c r="B48" s="176" t="s">
        <v>149</v>
      </c>
      <c r="C48" s="373">
        <f>C49</f>
        <v>221000</v>
      </c>
      <c r="D48" s="383">
        <f>D49</f>
        <v>247162</v>
      </c>
      <c r="E48" s="218">
        <f>E49</f>
        <v>244143.66</v>
      </c>
    </row>
    <row r="49" spans="1:5" ht="19.5" customHeight="1">
      <c r="A49" s="46"/>
      <c r="B49" s="29" t="s">
        <v>16</v>
      </c>
      <c r="C49" s="374">
        <v>221000</v>
      </c>
      <c r="D49" s="382">
        <v>247162</v>
      </c>
      <c r="E49" s="354">
        <v>244143.66</v>
      </c>
    </row>
    <row r="50" spans="1:5" s="21" customFormat="1" ht="24" customHeight="1">
      <c r="A50" s="48">
        <v>85228</v>
      </c>
      <c r="B50" s="176" t="s">
        <v>150</v>
      </c>
      <c r="C50" s="373">
        <f>C51</f>
        <v>123000</v>
      </c>
      <c r="D50" s="383">
        <f>D51</f>
        <v>114810</v>
      </c>
      <c r="E50" s="218">
        <f>E51</f>
        <v>114799.79999999999</v>
      </c>
    </row>
    <row r="51" spans="1:5" ht="24" customHeight="1">
      <c r="A51" s="46"/>
      <c r="B51" s="192" t="s">
        <v>14</v>
      </c>
      <c r="C51" s="384">
        <f>87792+8342+16789+2320+590+3500+3667</f>
        <v>123000</v>
      </c>
      <c r="D51" s="382">
        <f>841+79830+8504+15509+2120+2251+2000+185+3570</f>
        <v>114810</v>
      </c>
      <c r="E51" s="354">
        <f>840.29+79826.8+8503.26+15508.51+2119.89+2247+2000+185+3569.05</f>
        <v>114799.79999999999</v>
      </c>
    </row>
    <row r="52" spans="1:5" ht="24" customHeight="1">
      <c r="A52" s="46"/>
      <c r="B52" s="201" t="s">
        <v>15</v>
      </c>
      <c r="C52" s="384">
        <f>87792+8342+16789+2320+3500</f>
        <v>118743</v>
      </c>
      <c r="D52" s="382">
        <f>79830+8504+15509+2120+2000</f>
        <v>107963</v>
      </c>
      <c r="E52" s="354">
        <f>79826.8+8503.26+15508.51+2119.89+2000</f>
        <v>107958.45999999999</v>
      </c>
    </row>
    <row r="53" spans="1:5" s="21" customFormat="1" ht="24" customHeight="1">
      <c r="A53" s="48">
        <v>85278</v>
      </c>
      <c r="B53" s="230" t="s">
        <v>237</v>
      </c>
      <c r="C53" s="363">
        <f>C54</f>
        <v>0</v>
      </c>
      <c r="D53" s="383">
        <f>D54</f>
        <v>2129</v>
      </c>
      <c r="E53" s="218">
        <f>E54</f>
        <v>0</v>
      </c>
    </row>
    <row r="54" spans="1:5" ht="24" customHeight="1">
      <c r="A54" s="50"/>
      <c r="B54" s="337" t="s">
        <v>16</v>
      </c>
      <c r="C54" s="365">
        <v>0</v>
      </c>
      <c r="D54" s="385">
        <v>2129</v>
      </c>
      <c r="E54" s="351">
        <v>0</v>
      </c>
    </row>
    <row r="55" spans="1:5" s="144" customFormat="1" ht="40.5" customHeight="1">
      <c r="A55" s="517" t="s">
        <v>269</v>
      </c>
      <c r="B55" s="518"/>
      <c r="C55" s="386">
        <f>C30+C33+C37+C42</f>
        <v>4206070</v>
      </c>
      <c r="D55" s="368">
        <f>D30+D33+D37+D42</f>
        <v>4093723</v>
      </c>
      <c r="E55" s="369">
        <f>E30+E33+E37+E42</f>
        <v>4029603.72</v>
      </c>
    </row>
    <row r="56" spans="4:5" ht="12.75">
      <c r="D56" s="22"/>
      <c r="E56" s="191"/>
    </row>
    <row r="57" spans="4:5" ht="12.75">
      <c r="D57" s="16"/>
      <c r="E57" s="191"/>
    </row>
    <row r="58" spans="4:5" ht="12.75">
      <c r="D58" s="16"/>
      <c r="E58" s="191"/>
    </row>
    <row r="59" spans="4:5" ht="12.75">
      <c r="D59" s="16"/>
      <c r="E59" s="191"/>
    </row>
    <row r="60" spans="4:5" ht="12.75">
      <c r="D60" s="16"/>
      <c r="E60" s="191"/>
    </row>
    <row r="61" spans="4:5" ht="12.75">
      <c r="D61" s="16"/>
      <c r="E61" s="191"/>
    </row>
    <row r="62" ht="12.75">
      <c r="E62" s="191"/>
    </row>
    <row r="63" ht="12.75">
      <c r="E63" s="191"/>
    </row>
  </sheetData>
  <mergeCells count="7">
    <mergeCell ref="A55:B55"/>
    <mergeCell ref="A28:B28"/>
    <mergeCell ref="A1:E1"/>
    <mergeCell ref="A5:E5"/>
    <mergeCell ref="A29:E29"/>
    <mergeCell ref="A3:E3"/>
    <mergeCell ref="A2:E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:E1"/>
    </sheetView>
  </sheetViews>
  <sheetFormatPr defaultColWidth="9.00390625" defaultRowHeight="12.75"/>
  <cols>
    <col min="1" max="1" width="33.625" style="0" customWidth="1"/>
    <col min="2" max="2" width="14.625" style="0" customWidth="1"/>
    <col min="3" max="3" width="11.25390625" style="0" customWidth="1"/>
    <col min="4" max="4" width="12.00390625" style="0" customWidth="1"/>
    <col min="5" max="5" width="15.125" style="0" customWidth="1"/>
  </cols>
  <sheetData>
    <row r="1" spans="1:5" ht="12.75">
      <c r="A1" s="509" t="s">
        <v>221</v>
      </c>
      <c r="B1" s="509"/>
      <c r="C1" s="509"/>
      <c r="D1" s="509"/>
      <c r="E1" s="509"/>
    </row>
    <row r="2" spans="1:5" ht="50.25" customHeight="1">
      <c r="A2" s="487" t="s">
        <v>348</v>
      </c>
      <c r="B2" s="487"/>
      <c r="C2" s="487"/>
      <c r="D2" s="487"/>
      <c r="E2" s="487"/>
    </row>
    <row r="3" spans="1:6" ht="46.5" customHeight="1">
      <c r="A3" s="60" t="s">
        <v>0</v>
      </c>
      <c r="B3" s="60" t="s">
        <v>366</v>
      </c>
      <c r="C3" s="60" t="s">
        <v>61</v>
      </c>
      <c r="D3" s="60" t="s">
        <v>160</v>
      </c>
      <c r="E3" s="60" t="s">
        <v>367</v>
      </c>
      <c r="F3" s="53"/>
    </row>
    <row r="4" spans="1:6" s="21" customFormat="1" ht="27.75" customHeight="1">
      <c r="A4" s="438" t="s">
        <v>358</v>
      </c>
      <c r="B4" s="440">
        <f>B5+B6+B7+B8+B9+B10+B11+B12+B13+B14+B15</f>
        <v>9455908.21</v>
      </c>
      <c r="C4" s="440">
        <f>C5+C6+C7+C8+C9+C10+C11+C12+C13+C14+C15</f>
        <v>5700000</v>
      </c>
      <c r="D4" s="440">
        <f>D5+D6+D7+D8+D9+D10+D11+D12+D13+D14+D15</f>
        <v>2544019.21</v>
      </c>
      <c r="E4" s="440">
        <f>E5+E6+E7+E8+E9+E10+E11+E12+E13+E14+E15</f>
        <v>12553749</v>
      </c>
      <c r="F4" s="439"/>
    </row>
    <row r="5" spans="1:6" ht="46.5" customHeight="1">
      <c r="A5" s="56" t="s">
        <v>165</v>
      </c>
      <c r="B5" s="435">
        <v>75441.69</v>
      </c>
      <c r="C5" s="435"/>
      <c r="D5" s="435">
        <v>75441.69</v>
      </c>
      <c r="E5" s="435"/>
      <c r="F5" s="52"/>
    </row>
    <row r="6" spans="1:5" ht="33" customHeight="1">
      <c r="A6" s="57" t="s">
        <v>359</v>
      </c>
      <c r="B6" s="59"/>
      <c r="C6" s="59">
        <v>5700000</v>
      </c>
      <c r="D6" s="59"/>
      <c r="E6" s="59">
        <v>5700000</v>
      </c>
    </row>
    <row r="7" spans="1:5" ht="33" customHeight="1">
      <c r="A7" s="57" t="s">
        <v>166</v>
      </c>
      <c r="B7" s="59">
        <v>5240000</v>
      </c>
      <c r="C7" s="59"/>
      <c r="D7" s="59">
        <v>1000000</v>
      </c>
      <c r="E7" s="59">
        <v>4240000</v>
      </c>
    </row>
    <row r="8" spans="1:5" ht="33" customHeight="1">
      <c r="A8" s="57" t="s">
        <v>360</v>
      </c>
      <c r="B8" s="59">
        <v>2280000</v>
      </c>
      <c r="C8" s="59"/>
      <c r="D8" s="59">
        <v>145000</v>
      </c>
      <c r="E8" s="59">
        <v>2135000</v>
      </c>
    </row>
    <row r="9" spans="1:5" ht="46.5" customHeight="1">
      <c r="A9" s="57" t="s">
        <v>161</v>
      </c>
      <c r="B9" s="59">
        <v>28000</v>
      </c>
      <c r="C9" s="59"/>
      <c r="D9" s="59">
        <v>18160</v>
      </c>
      <c r="E9" s="59"/>
    </row>
    <row r="10" spans="1:5" ht="46.5" customHeight="1">
      <c r="A10" s="57" t="s">
        <v>162</v>
      </c>
      <c r="B10" s="59">
        <v>150000</v>
      </c>
      <c r="C10" s="59"/>
      <c r="D10" s="59">
        <v>112500</v>
      </c>
      <c r="E10" s="59"/>
    </row>
    <row r="11" spans="1:5" ht="46.5" customHeight="1">
      <c r="A11" s="57" t="s">
        <v>163</v>
      </c>
      <c r="B11" s="59">
        <v>28000</v>
      </c>
      <c r="C11" s="59"/>
      <c r="D11" s="59">
        <v>17200</v>
      </c>
      <c r="E11" s="59"/>
    </row>
    <row r="12" spans="1:5" ht="46.5" customHeight="1">
      <c r="A12" s="57" t="s">
        <v>164</v>
      </c>
      <c r="B12" s="59">
        <v>300000</v>
      </c>
      <c r="C12" s="59"/>
      <c r="D12" s="59">
        <v>150000</v>
      </c>
      <c r="E12" s="59">
        <v>150000</v>
      </c>
    </row>
    <row r="13" spans="1:5" ht="46.5" customHeight="1">
      <c r="A13" s="57" t="s">
        <v>361</v>
      </c>
      <c r="B13" s="59">
        <v>158749</v>
      </c>
      <c r="C13" s="59"/>
      <c r="D13" s="59">
        <v>60000</v>
      </c>
      <c r="E13" s="59">
        <v>98749</v>
      </c>
    </row>
    <row r="14" spans="1:5" ht="46.5" customHeight="1">
      <c r="A14" s="57" t="s">
        <v>362</v>
      </c>
      <c r="B14" s="59">
        <v>350000</v>
      </c>
      <c r="C14" s="59"/>
      <c r="D14" s="59">
        <v>120000</v>
      </c>
      <c r="E14" s="59">
        <v>230000</v>
      </c>
    </row>
    <row r="15" spans="1:5" ht="46.5" customHeight="1">
      <c r="A15" s="57" t="s">
        <v>363</v>
      </c>
      <c r="B15" s="59">
        <v>845717.52</v>
      </c>
      <c r="C15" s="59"/>
      <c r="D15" s="59">
        <v>845717.52</v>
      </c>
      <c r="E15" s="59"/>
    </row>
    <row r="16" spans="1:5" s="21" customFormat="1" ht="63.75" customHeight="1">
      <c r="A16" s="58" t="s">
        <v>364</v>
      </c>
      <c r="B16" s="436"/>
      <c r="C16" s="436">
        <v>1273340.57</v>
      </c>
      <c r="D16" s="436"/>
      <c r="E16" s="436"/>
    </row>
    <row r="17" spans="1:5" s="21" customFormat="1" ht="32.25" customHeight="1">
      <c r="A17" s="58" t="s">
        <v>365</v>
      </c>
      <c r="B17" s="436">
        <f>B4+B16</f>
        <v>9455908.21</v>
      </c>
      <c r="C17" s="436">
        <f>C4+C16</f>
        <v>6973340.57</v>
      </c>
      <c r="D17" s="436">
        <f>D4+D16</f>
        <v>2544019.21</v>
      </c>
      <c r="E17" s="436">
        <f>E4+E16</f>
        <v>12553749</v>
      </c>
    </row>
    <row r="18" spans="1:5" ht="12.75">
      <c r="A18" s="54"/>
      <c r="B18" s="437"/>
      <c r="C18" s="437"/>
      <c r="D18" s="437"/>
      <c r="E18" s="437"/>
    </row>
    <row r="19" spans="1:5" ht="12.75">
      <c r="A19" s="54"/>
      <c r="B19" s="437"/>
      <c r="C19" s="437"/>
      <c r="D19" s="437"/>
      <c r="E19" s="437"/>
    </row>
    <row r="20" spans="1:5" ht="12.75">
      <c r="A20" s="54"/>
      <c r="B20" s="437"/>
      <c r="C20" s="437"/>
      <c r="D20" s="437"/>
      <c r="E20" s="437"/>
    </row>
    <row r="21" spans="1:5" ht="12.75">
      <c r="A21" s="54"/>
      <c r="B21" s="437"/>
      <c r="C21" s="437"/>
      <c r="D21" s="437"/>
      <c r="E21" s="437"/>
    </row>
    <row r="22" spans="1:5" ht="12.75">
      <c r="A22" s="54"/>
      <c r="B22" s="437"/>
      <c r="C22" s="437"/>
      <c r="D22" s="437"/>
      <c r="E22" s="437"/>
    </row>
    <row r="23" spans="1:5" ht="12.75">
      <c r="A23" s="54"/>
      <c r="B23" s="55"/>
      <c r="C23" s="55"/>
      <c r="D23" s="55"/>
      <c r="E23" s="55"/>
    </row>
    <row r="24" spans="1:5" ht="12.75">
      <c r="A24" s="54"/>
      <c r="B24" s="55"/>
      <c r="C24" s="55"/>
      <c r="D24" s="55"/>
      <c r="E24" s="55"/>
    </row>
    <row r="25" spans="1:5" ht="12.75">
      <c r="A25" s="54"/>
      <c r="B25" s="55"/>
      <c r="C25" s="55"/>
      <c r="D25" s="55"/>
      <c r="E25" s="55"/>
    </row>
    <row r="26" spans="1:5" ht="12.75">
      <c r="A26" s="54"/>
      <c r="B26" s="55"/>
      <c r="C26" s="55"/>
      <c r="D26" s="55"/>
      <c r="E26" s="55"/>
    </row>
    <row r="27" spans="1:5" ht="12.75">
      <c r="A27" s="54"/>
      <c r="B27" s="55"/>
      <c r="C27" s="55"/>
      <c r="D27" s="55"/>
      <c r="E27" s="55"/>
    </row>
    <row r="28" spans="1:5" ht="12.75">
      <c r="A28" s="54"/>
      <c r="B28" s="55"/>
      <c r="C28" s="55"/>
      <c r="D28" s="55"/>
      <c r="E28" s="55"/>
    </row>
    <row r="29" spans="1:5" ht="12.75">
      <c r="A29" s="54"/>
      <c r="B29" s="55"/>
      <c r="C29" s="55"/>
      <c r="D29" s="55"/>
      <c r="E29" s="55"/>
    </row>
    <row r="30" spans="1:5" ht="12.75">
      <c r="A30" s="54"/>
      <c r="B30" s="55"/>
      <c r="C30" s="55"/>
      <c r="D30" s="55"/>
      <c r="E30" s="55"/>
    </row>
    <row r="31" spans="1:5" ht="12.75">
      <c r="A31" s="54"/>
      <c r="B31" s="55"/>
      <c r="C31" s="55"/>
      <c r="D31" s="55"/>
      <c r="E31" s="55"/>
    </row>
    <row r="32" spans="1:5" ht="12.75">
      <c r="A32" s="54"/>
      <c r="B32" s="55"/>
      <c r="C32" s="55"/>
      <c r="D32" s="55"/>
      <c r="E32" s="55"/>
    </row>
    <row r="33" spans="1:5" ht="12.75">
      <c r="A33" s="54"/>
      <c r="B33" s="55"/>
      <c r="C33" s="55"/>
      <c r="D33" s="55"/>
      <c r="E33" s="55"/>
    </row>
    <row r="34" ht="12.75">
      <c r="A34" s="54"/>
    </row>
    <row r="35" ht="12.75">
      <c r="A35" s="54"/>
    </row>
    <row r="36" ht="12.75">
      <c r="A36" s="54"/>
    </row>
    <row r="37" ht="12.75">
      <c r="A37" s="54"/>
    </row>
    <row r="38" ht="12.75">
      <c r="A38" s="54"/>
    </row>
    <row r="39" ht="12.75">
      <c r="A39" s="54"/>
    </row>
    <row r="40" ht="12.75">
      <c r="A40" s="54"/>
    </row>
    <row r="41" ht="12.75">
      <c r="A41" s="54"/>
    </row>
    <row r="42" ht="12.75">
      <c r="A42" s="54"/>
    </row>
    <row r="43" ht="12.75">
      <c r="A43" s="54"/>
    </row>
    <row r="44" ht="12.75">
      <c r="A44" s="54"/>
    </row>
    <row r="45" ht="12.75">
      <c r="A45" s="54"/>
    </row>
    <row r="46" ht="12.75">
      <c r="A46" s="54"/>
    </row>
    <row r="47" ht="12.75">
      <c r="A47" s="54"/>
    </row>
    <row r="48" ht="12.75">
      <c r="A48" s="54"/>
    </row>
    <row r="49" ht="12.75">
      <c r="A49" s="54"/>
    </row>
    <row r="50" ht="12.75">
      <c r="A50" s="54"/>
    </row>
  </sheetData>
  <mergeCells count="2">
    <mergeCell ref="A2:E2"/>
    <mergeCell ref="A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D32" sqref="D32"/>
    </sheetView>
  </sheetViews>
  <sheetFormatPr defaultColWidth="9.00390625" defaultRowHeight="12.75"/>
  <cols>
    <col min="1" max="1" width="11.25390625" style="0" customWidth="1"/>
    <col min="2" max="2" width="50.75390625" style="0" customWidth="1"/>
    <col min="3" max="6" width="13.875" style="0" customWidth="1"/>
    <col min="7" max="7" width="14.125" style="0" customWidth="1"/>
  </cols>
  <sheetData>
    <row r="1" spans="1:7" ht="24" customHeight="1">
      <c r="A1" s="509" t="s">
        <v>222</v>
      </c>
      <c r="B1" s="509"/>
      <c r="C1" s="509"/>
      <c r="D1" s="509"/>
      <c r="E1" s="509"/>
      <c r="F1" s="509"/>
      <c r="G1" s="509"/>
    </row>
    <row r="2" spans="1:7" ht="35.25" customHeight="1">
      <c r="A2" s="484" t="s">
        <v>349</v>
      </c>
      <c r="B2" s="484"/>
      <c r="C2" s="484"/>
      <c r="D2" s="484"/>
      <c r="E2" s="484"/>
      <c r="F2" s="484"/>
      <c r="G2" s="484"/>
    </row>
    <row r="3" spans="1:7" ht="65.25" customHeight="1">
      <c r="A3" s="523" t="s">
        <v>105</v>
      </c>
      <c r="B3" s="525" t="s">
        <v>106</v>
      </c>
      <c r="C3" s="490" t="s">
        <v>314</v>
      </c>
      <c r="D3" s="491"/>
      <c r="E3" s="521" t="s">
        <v>315</v>
      </c>
      <c r="F3" s="522"/>
      <c r="G3" s="527" t="s">
        <v>316</v>
      </c>
    </row>
    <row r="4" spans="1:7" s="20" customFormat="1" ht="35.25" customHeight="1">
      <c r="A4" s="524"/>
      <c r="B4" s="526"/>
      <c r="C4" s="35" t="s">
        <v>107</v>
      </c>
      <c r="D4" s="36" t="s">
        <v>108</v>
      </c>
      <c r="E4" s="397" t="s">
        <v>100</v>
      </c>
      <c r="F4" s="398" t="s">
        <v>101</v>
      </c>
      <c r="G4" s="528"/>
    </row>
    <row r="5" spans="1:7" s="61" customFormat="1" ht="35.25" customHeight="1">
      <c r="A5" s="336">
        <v>400</v>
      </c>
      <c r="B5" s="417" t="s">
        <v>172</v>
      </c>
      <c r="C5" s="345">
        <f>C6</f>
        <v>10000</v>
      </c>
      <c r="D5" s="387">
        <f>D6</f>
        <v>9870</v>
      </c>
      <c r="E5" s="345">
        <f>E6</f>
        <v>180000</v>
      </c>
      <c r="F5" s="340">
        <f>F6</f>
        <v>177518.25</v>
      </c>
      <c r="G5" s="343">
        <f>G6</f>
        <v>187388.25</v>
      </c>
    </row>
    <row r="6" spans="1:7" ht="33" customHeight="1">
      <c r="A6" s="240"/>
      <c r="B6" s="416" t="s">
        <v>297</v>
      </c>
      <c r="C6" s="388">
        <v>10000</v>
      </c>
      <c r="D6" s="389">
        <v>9870</v>
      </c>
      <c r="E6" s="390">
        <v>180000</v>
      </c>
      <c r="F6" s="391">
        <f>1769+9.25+1740+174000</f>
        <v>177518.25</v>
      </c>
      <c r="G6" s="392">
        <f>D6+F6</f>
        <v>187388.25</v>
      </c>
    </row>
    <row r="7" spans="1:7" s="61" customFormat="1" ht="22.5" customHeight="1">
      <c r="A7" s="336">
        <v>600</v>
      </c>
      <c r="B7" s="417" t="s">
        <v>259</v>
      </c>
      <c r="C7" s="345">
        <f>C8+C9</f>
        <v>170600</v>
      </c>
      <c r="D7" s="387">
        <f>D8+D9</f>
        <v>170568</v>
      </c>
      <c r="E7" s="346">
        <f>E8+E9</f>
        <v>0</v>
      </c>
      <c r="F7" s="341">
        <f>F8+F9</f>
        <v>0</v>
      </c>
      <c r="G7" s="343">
        <f>G8+G9</f>
        <v>170568</v>
      </c>
    </row>
    <row r="8" spans="1:7" ht="21" customHeight="1">
      <c r="A8" s="240"/>
      <c r="B8" s="416" t="s">
        <v>298</v>
      </c>
      <c r="C8" s="388">
        <v>140000</v>
      </c>
      <c r="D8" s="389">
        <v>139568</v>
      </c>
      <c r="E8" s="388">
        <v>0</v>
      </c>
      <c r="F8" s="393">
        <v>0</v>
      </c>
      <c r="G8" s="394">
        <f>D8+F8</f>
        <v>139568</v>
      </c>
    </row>
    <row r="9" spans="1:7" ht="24.75" customHeight="1">
      <c r="A9" s="240"/>
      <c r="B9" s="416" t="s">
        <v>299</v>
      </c>
      <c r="C9" s="388">
        <v>30600</v>
      </c>
      <c r="D9" s="389">
        <v>31000</v>
      </c>
      <c r="E9" s="390">
        <v>0</v>
      </c>
      <c r="F9" s="391">
        <v>0</v>
      </c>
      <c r="G9" s="392">
        <f>D9+F9</f>
        <v>31000</v>
      </c>
    </row>
    <row r="10" spans="1:7" s="61" customFormat="1" ht="27" customHeight="1">
      <c r="A10" s="336">
        <v>700</v>
      </c>
      <c r="B10" s="418" t="s">
        <v>1</v>
      </c>
      <c r="C10" s="345">
        <f>C11+C12+C13+C14</f>
        <v>59674</v>
      </c>
      <c r="D10" s="410">
        <f>D11+D12+D13+D14</f>
        <v>57319.95999999999</v>
      </c>
      <c r="E10" s="346">
        <f>E11+E12+E13+E14</f>
        <v>0</v>
      </c>
      <c r="F10" s="341">
        <f>F11+F12+F13+F14</f>
        <v>0</v>
      </c>
      <c r="G10" s="343">
        <f>G11+G12+G14</f>
        <v>51919.02</v>
      </c>
    </row>
    <row r="11" spans="1:7" ht="24" customHeight="1">
      <c r="A11" s="240"/>
      <c r="B11" s="419" t="s">
        <v>299</v>
      </c>
      <c r="C11" s="388">
        <v>8000</v>
      </c>
      <c r="D11" s="411">
        <v>7584</v>
      </c>
      <c r="E11" s="388">
        <v>0</v>
      </c>
      <c r="F11" s="393">
        <v>0</v>
      </c>
      <c r="G11" s="394">
        <f>D11+F11</f>
        <v>7584</v>
      </c>
    </row>
    <row r="12" spans="1:7" ht="33.75" customHeight="1">
      <c r="A12" s="240"/>
      <c r="B12" s="419" t="s">
        <v>300</v>
      </c>
      <c r="C12" s="388">
        <v>7000</v>
      </c>
      <c r="D12" s="411">
        <v>6840</v>
      </c>
      <c r="E12" s="388">
        <v>0</v>
      </c>
      <c r="F12" s="393">
        <v>0</v>
      </c>
      <c r="G12" s="394">
        <f>D12+F12</f>
        <v>6840</v>
      </c>
    </row>
    <row r="13" spans="1:7" ht="24.75" customHeight="1">
      <c r="A13" s="240"/>
      <c r="B13" s="419" t="s">
        <v>301</v>
      </c>
      <c r="C13" s="388">
        <v>7000</v>
      </c>
      <c r="D13" s="411">
        <v>5400.94</v>
      </c>
      <c r="E13" s="388">
        <v>0</v>
      </c>
      <c r="F13" s="393">
        <v>0</v>
      </c>
      <c r="G13" s="394">
        <f>D13+F13</f>
        <v>5400.94</v>
      </c>
    </row>
    <row r="14" spans="1:7" ht="35.25" customHeight="1">
      <c r="A14" s="240"/>
      <c r="B14" s="420" t="s">
        <v>357</v>
      </c>
      <c r="C14" s="390">
        <v>37674</v>
      </c>
      <c r="D14" s="409">
        <v>37495.02</v>
      </c>
      <c r="E14" s="388">
        <v>0</v>
      </c>
      <c r="F14" s="393">
        <v>0</v>
      </c>
      <c r="G14" s="392">
        <f>D14+F14</f>
        <v>37495.02</v>
      </c>
    </row>
    <row r="15" spans="1:7" s="61" customFormat="1" ht="27" customHeight="1">
      <c r="A15" s="336">
        <v>750</v>
      </c>
      <c r="B15" s="417" t="s">
        <v>2</v>
      </c>
      <c r="C15" s="346">
        <f>C16</f>
        <v>154000</v>
      </c>
      <c r="D15" s="387">
        <f>D16</f>
        <v>116853.77</v>
      </c>
      <c r="E15" s="345">
        <f>E16</f>
        <v>0</v>
      </c>
      <c r="F15" s="340">
        <f>F16</f>
        <v>0</v>
      </c>
      <c r="G15" s="343">
        <f>G16</f>
        <v>116853.77</v>
      </c>
    </row>
    <row r="16" spans="1:7" ht="27" customHeight="1">
      <c r="A16" s="421"/>
      <c r="B16" s="422" t="s">
        <v>302</v>
      </c>
      <c r="C16" s="390">
        <v>154000</v>
      </c>
      <c r="D16" s="395">
        <v>116853.77</v>
      </c>
      <c r="E16" s="390">
        <v>0</v>
      </c>
      <c r="F16" s="391">
        <v>0</v>
      </c>
      <c r="G16" s="392">
        <f>D16+F16</f>
        <v>116853.77</v>
      </c>
    </row>
    <row r="17" spans="1:7" s="21" customFormat="1" ht="24" customHeight="1">
      <c r="A17" s="429">
        <v>801</v>
      </c>
      <c r="B17" s="430" t="s">
        <v>7</v>
      </c>
      <c r="C17" s="426">
        <f>C18</f>
        <v>12000</v>
      </c>
      <c r="D17" s="381">
        <f>D18</f>
        <v>11996.6</v>
      </c>
      <c r="E17" s="426">
        <f>E18</f>
        <v>0</v>
      </c>
      <c r="F17" s="427">
        <f>F18</f>
        <v>0</v>
      </c>
      <c r="G17" s="428">
        <f>G18</f>
        <v>11996.6</v>
      </c>
    </row>
    <row r="18" spans="1:7" ht="27" customHeight="1">
      <c r="A18" s="240"/>
      <c r="B18" s="416" t="s">
        <v>356</v>
      </c>
      <c r="C18" s="388">
        <f>6000+6000</f>
        <v>12000</v>
      </c>
      <c r="D18" s="389">
        <f>6000+5996.6</f>
        <v>11996.6</v>
      </c>
      <c r="E18" s="388">
        <v>0</v>
      </c>
      <c r="F18" s="393">
        <v>0</v>
      </c>
      <c r="G18" s="394">
        <f>D18+F18</f>
        <v>11996.6</v>
      </c>
    </row>
    <row r="19" spans="1:7" s="21" customFormat="1" ht="24" customHeight="1">
      <c r="A19" s="336">
        <v>851</v>
      </c>
      <c r="B19" s="417" t="s">
        <v>37</v>
      </c>
      <c r="C19" s="426">
        <f>C20+C21</f>
        <v>737600</v>
      </c>
      <c r="D19" s="381">
        <f>D20+D21</f>
        <v>737600</v>
      </c>
      <c r="E19" s="426">
        <f>E20+E21</f>
        <v>0</v>
      </c>
      <c r="F19" s="427">
        <f>F20+F21</f>
        <v>0</v>
      </c>
      <c r="G19" s="428">
        <f>G20+G21</f>
        <v>737600</v>
      </c>
    </row>
    <row r="20" spans="1:7" ht="34.5" customHeight="1">
      <c r="A20" s="240"/>
      <c r="B20" s="416" t="s">
        <v>353</v>
      </c>
      <c r="C20" s="388">
        <v>717600</v>
      </c>
      <c r="D20" s="389">
        <v>717600</v>
      </c>
      <c r="E20" s="388">
        <v>0</v>
      </c>
      <c r="F20" s="393">
        <v>0</v>
      </c>
      <c r="G20" s="394">
        <f>D20+F20</f>
        <v>717600</v>
      </c>
    </row>
    <row r="21" spans="1:7" ht="36" customHeight="1">
      <c r="A21" s="421"/>
      <c r="B21" s="422" t="s">
        <v>354</v>
      </c>
      <c r="C21" s="390">
        <v>20000</v>
      </c>
      <c r="D21" s="395">
        <v>20000</v>
      </c>
      <c r="E21" s="390">
        <v>0</v>
      </c>
      <c r="F21" s="391">
        <v>0</v>
      </c>
      <c r="G21" s="392">
        <f>D21+F21</f>
        <v>20000</v>
      </c>
    </row>
    <row r="22" spans="1:7" s="61" customFormat="1" ht="32.25" customHeight="1">
      <c r="A22" s="336">
        <v>900</v>
      </c>
      <c r="B22" s="417" t="s">
        <v>9</v>
      </c>
      <c r="C22" s="345">
        <f>C23+C24+C25+C26+C27+C28+C29+C30</f>
        <v>522734</v>
      </c>
      <c r="D22" s="387">
        <f>D23+D24+D25+D26+D27+D28+D29+D30</f>
        <v>519182.78</v>
      </c>
      <c r="E22" s="345">
        <f>E23+E24+E25+E26+E27+E28+E29+E30</f>
        <v>532600</v>
      </c>
      <c r="F22" s="340">
        <f>F23+F24+F25+F26+F27+F28+F29+F30</f>
        <v>502698.07</v>
      </c>
      <c r="G22" s="343">
        <f>G23+G24+G25+G26+G27+G28+G29+G30</f>
        <v>1021880.8500000001</v>
      </c>
    </row>
    <row r="23" spans="1:7" s="34" customFormat="1" ht="32.25" customHeight="1">
      <c r="A23" s="240"/>
      <c r="B23" s="416" t="s">
        <v>303</v>
      </c>
      <c r="C23" s="388">
        <f>21000+330084+120500</f>
        <v>471584</v>
      </c>
      <c r="D23" s="389">
        <f>21400.15+330083.18+120286.56</f>
        <v>471769.89</v>
      </c>
      <c r="E23" s="388">
        <v>20000</v>
      </c>
      <c r="F23" s="393">
        <f>1220+20000</f>
        <v>21220</v>
      </c>
      <c r="G23" s="394">
        <f aca="true" t="shared" si="0" ref="G23:G30">D23+F23</f>
        <v>492989.89</v>
      </c>
    </row>
    <row r="24" spans="1:7" ht="25.5" customHeight="1">
      <c r="A24" s="240"/>
      <c r="B24" s="416" t="s">
        <v>86</v>
      </c>
      <c r="C24" s="388">
        <v>10000</v>
      </c>
      <c r="D24" s="389">
        <v>6111.92</v>
      </c>
      <c r="E24" s="388">
        <v>148750</v>
      </c>
      <c r="F24" s="393">
        <f>695.4+3000+18.5+9.25+9.25+57.41+42.3+7335.84+45219.81+45219.81+3056.3+225.52+1031.18+19779.24+974.98+114.58+4449.4+4449.56+268.47+99.96+175</f>
        <v>136231.75999999998</v>
      </c>
      <c r="G24" s="394">
        <f t="shared" si="0"/>
        <v>142343.68</v>
      </c>
    </row>
    <row r="25" spans="1:7" ht="25.5" customHeight="1">
      <c r="A25" s="240"/>
      <c r="B25" s="416" t="s">
        <v>69</v>
      </c>
      <c r="C25" s="388">
        <v>0</v>
      </c>
      <c r="D25" s="389">
        <v>110</v>
      </c>
      <c r="E25" s="388">
        <v>150000</v>
      </c>
      <c r="F25" s="393">
        <f>9.25+6955+702.72+6995.15+89834.01+69.96+79.3+1024.28+560.72+49178.7+9.25</f>
        <v>155418.34</v>
      </c>
      <c r="G25" s="394">
        <f t="shared" si="0"/>
        <v>155528.34</v>
      </c>
    </row>
    <row r="26" spans="1:7" ht="25.5" customHeight="1">
      <c r="A26" s="240"/>
      <c r="B26" s="423" t="s">
        <v>68</v>
      </c>
      <c r="C26" s="388">
        <v>0</v>
      </c>
      <c r="D26" s="389">
        <v>9.26</v>
      </c>
      <c r="E26" s="388">
        <v>213850</v>
      </c>
      <c r="F26" s="393">
        <f>731.89+64190.04+780.8+31689.88+361.33+10653.32+36356+121.46+525.72+16216.04+231.39+23139.06+4831.04</f>
        <v>189827.97000000003</v>
      </c>
      <c r="G26" s="394">
        <f t="shared" si="0"/>
        <v>189837.23000000004</v>
      </c>
    </row>
    <row r="27" spans="1:7" ht="25.5" customHeight="1">
      <c r="A27" s="240"/>
      <c r="B27" s="416" t="s">
        <v>304</v>
      </c>
      <c r="C27" s="388">
        <v>5000</v>
      </c>
      <c r="D27" s="389">
        <v>5055</v>
      </c>
      <c r="E27" s="388">
        <v>0</v>
      </c>
      <c r="F27" s="393">
        <v>0</v>
      </c>
      <c r="G27" s="394">
        <f t="shared" si="0"/>
        <v>5055</v>
      </c>
    </row>
    <row r="28" spans="1:7" ht="25.5" customHeight="1">
      <c r="A28" s="240"/>
      <c r="B28" s="416" t="s">
        <v>305</v>
      </c>
      <c r="C28" s="388">
        <v>17150</v>
      </c>
      <c r="D28" s="389">
        <v>17155.21</v>
      </c>
      <c r="E28" s="388">
        <v>0</v>
      </c>
      <c r="F28" s="393">
        <v>0</v>
      </c>
      <c r="G28" s="394">
        <f t="shared" si="0"/>
        <v>17155.21</v>
      </c>
    </row>
    <row r="29" spans="1:7" ht="25.5" customHeight="1">
      <c r="A29" s="240"/>
      <c r="B29" s="416" t="s">
        <v>306</v>
      </c>
      <c r="C29" s="388">
        <v>1500</v>
      </c>
      <c r="D29" s="389">
        <v>1500</v>
      </c>
      <c r="E29" s="388">
        <v>0</v>
      </c>
      <c r="F29" s="393">
        <v>0</v>
      </c>
      <c r="G29" s="394">
        <f t="shared" si="0"/>
        <v>1500</v>
      </c>
    </row>
    <row r="30" spans="1:7" ht="25.5" customHeight="1">
      <c r="A30" s="424"/>
      <c r="B30" s="425" t="s">
        <v>355</v>
      </c>
      <c r="C30" s="390">
        <v>17500</v>
      </c>
      <c r="D30" s="396">
        <v>17471.5</v>
      </c>
      <c r="E30" s="390">
        <v>0</v>
      </c>
      <c r="F30" s="391">
        <v>0</v>
      </c>
      <c r="G30" s="392">
        <f t="shared" si="0"/>
        <v>17471.5</v>
      </c>
    </row>
    <row r="31" spans="1:7" s="61" customFormat="1" ht="24.75" customHeight="1">
      <c r="A31" s="336">
        <v>926</v>
      </c>
      <c r="B31" s="417" t="s">
        <v>10</v>
      </c>
      <c r="C31" s="345">
        <f>C32+C33</f>
        <v>6609981</v>
      </c>
      <c r="D31" s="387">
        <f>D32+D33</f>
        <v>6561203.609999999</v>
      </c>
      <c r="E31" s="345">
        <f>E32+E33</f>
        <v>0</v>
      </c>
      <c r="F31" s="340">
        <f>F32+F33</f>
        <v>0</v>
      </c>
      <c r="G31" s="343">
        <f>G33</f>
        <v>6501429.22</v>
      </c>
    </row>
    <row r="32" spans="1:7" s="34" customFormat="1" ht="31.5" customHeight="1">
      <c r="A32" s="240"/>
      <c r="B32" s="416" t="s">
        <v>414</v>
      </c>
      <c r="C32" s="412">
        <f>42732+60449</f>
        <v>103181</v>
      </c>
      <c r="D32" s="413">
        <v>59774.39</v>
      </c>
      <c r="E32" s="412">
        <v>0</v>
      </c>
      <c r="F32" s="414">
        <v>0</v>
      </c>
      <c r="G32" s="415">
        <f>D32+F32</f>
        <v>59774.39</v>
      </c>
    </row>
    <row r="33" spans="1:7" ht="24" customHeight="1">
      <c r="A33" s="421"/>
      <c r="B33" s="422" t="s">
        <v>307</v>
      </c>
      <c r="C33" s="390">
        <v>6506800</v>
      </c>
      <c r="D33" s="395">
        <f>6459418.92+42010.3</f>
        <v>6501429.22</v>
      </c>
      <c r="E33" s="390">
        <v>0</v>
      </c>
      <c r="F33" s="391">
        <v>0</v>
      </c>
      <c r="G33" s="392">
        <f>D33+F33</f>
        <v>6501429.22</v>
      </c>
    </row>
    <row r="34" spans="1:7" s="140" customFormat="1" ht="25.5" customHeight="1">
      <c r="A34" s="488" t="s">
        <v>308</v>
      </c>
      <c r="B34" s="489"/>
      <c r="C34" s="279">
        <f>C5+C7+C10+C15+C17+C19+C22+C31</f>
        <v>8276589</v>
      </c>
      <c r="D34" s="339">
        <f>D5+D7+D10+D15+D17+D19+D22+D31</f>
        <v>8184594.72</v>
      </c>
      <c r="E34" s="347">
        <f>E5+E7+E10+E15+E17+E19+E22+E31</f>
        <v>712600</v>
      </c>
      <c r="F34" s="342">
        <f>F5+F7+F10+F15+F17+F19+F22+F31</f>
        <v>680216.3200000001</v>
      </c>
      <c r="G34" s="344">
        <f>D34+F34</f>
        <v>8864811.04</v>
      </c>
    </row>
    <row r="35" ht="19.5" customHeight="1">
      <c r="D35" s="338"/>
    </row>
    <row r="36" ht="20.25" customHeight="1">
      <c r="D36" s="1"/>
    </row>
  </sheetData>
  <mergeCells count="8">
    <mergeCell ref="A34:B34"/>
    <mergeCell ref="C3:D3"/>
    <mergeCell ref="A1:G1"/>
    <mergeCell ref="A2:G2"/>
    <mergeCell ref="E3:F3"/>
    <mergeCell ref="A3:A4"/>
    <mergeCell ref="B3:B4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H5" sqref="H5"/>
    </sheetView>
  </sheetViews>
  <sheetFormatPr defaultColWidth="9.00390625" defaultRowHeight="12.75"/>
  <cols>
    <col min="1" max="1" width="5.375" style="0" customWidth="1"/>
    <col min="2" max="2" width="7.375" style="0" customWidth="1"/>
    <col min="3" max="3" width="22.625" style="0" customWidth="1"/>
    <col min="4" max="4" width="9.875" style="0" customWidth="1"/>
    <col min="5" max="5" width="10.00390625" style="0" customWidth="1"/>
    <col min="6" max="6" width="12.25390625" style="0" customWidth="1"/>
    <col min="7" max="7" width="11.75390625" style="0" customWidth="1"/>
    <col min="8" max="8" width="13.125" style="0" customWidth="1"/>
    <col min="9" max="9" width="12.25390625" style="0" customWidth="1"/>
    <col min="10" max="10" width="9.875" style="0" customWidth="1"/>
    <col min="11" max="11" width="10.375" style="0" customWidth="1"/>
  </cols>
  <sheetData>
    <row r="1" spans="1:11" ht="17.25" customHeight="1">
      <c r="A1" s="509" t="s">
        <v>223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43.5" customHeight="1">
      <c r="A2" s="532" t="s">
        <v>350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</row>
    <row r="3" spans="1:11" ht="39.75" customHeight="1">
      <c r="A3" s="530" t="s">
        <v>12</v>
      </c>
      <c r="B3" s="530" t="s">
        <v>60</v>
      </c>
      <c r="C3" s="530" t="s">
        <v>0</v>
      </c>
      <c r="D3" s="533" t="s">
        <v>168</v>
      </c>
      <c r="E3" s="534"/>
      <c r="F3" s="533" t="s">
        <v>61</v>
      </c>
      <c r="G3" s="534"/>
      <c r="H3" s="533" t="s">
        <v>167</v>
      </c>
      <c r="I3" s="534"/>
      <c r="J3" s="533" t="s">
        <v>169</v>
      </c>
      <c r="K3" s="534"/>
    </row>
    <row r="4" spans="1:11" ht="20.25" customHeight="1">
      <c r="A4" s="531"/>
      <c r="B4" s="531"/>
      <c r="C4" s="531"/>
      <c r="D4" s="35" t="s">
        <v>104</v>
      </c>
      <c r="E4" s="35" t="s">
        <v>101</v>
      </c>
      <c r="F4" s="35" t="s">
        <v>104</v>
      </c>
      <c r="G4" s="35" t="s">
        <v>101</v>
      </c>
      <c r="H4" s="35" t="s">
        <v>104</v>
      </c>
      <c r="I4" s="35" t="s">
        <v>101</v>
      </c>
      <c r="J4" s="35" t="s">
        <v>104</v>
      </c>
      <c r="K4" s="27" t="s">
        <v>101</v>
      </c>
    </row>
    <row r="5" spans="1:11" ht="31.5" customHeight="1">
      <c r="A5" s="35">
        <v>900</v>
      </c>
      <c r="B5" s="35">
        <v>90017</v>
      </c>
      <c r="C5" s="39" t="s">
        <v>62</v>
      </c>
      <c r="D5" s="194">
        <v>101471</v>
      </c>
      <c r="E5" s="194">
        <v>101471</v>
      </c>
      <c r="F5" s="194">
        <v>4081533</v>
      </c>
      <c r="G5" s="194">
        <v>3981336.82</v>
      </c>
      <c r="H5" s="194">
        <v>4080004</v>
      </c>
      <c r="I5" s="194">
        <v>3994909.21</v>
      </c>
      <c r="J5" s="482">
        <v>103000</v>
      </c>
      <c r="K5" s="433">
        <v>87898.61</v>
      </c>
    </row>
    <row r="6" spans="1:11" ht="27.75" customHeight="1">
      <c r="A6" s="35">
        <v>900</v>
      </c>
      <c r="B6" s="35">
        <v>90017</v>
      </c>
      <c r="C6" s="39" t="s">
        <v>63</v>
      </c>
      <c r="D6" s="194">
        <v>86935</v>
      </c>
      <c r="E6" s="194">
        <v>87567</v>
      </c>
      <c r="F6" s="194">
        <v>2334062</v>
      </c>
      <c r="G6" s="194">
        <v>2318361.97</v>
      </c>
      <c r="H6" s="194">
        <v>2333337</v>
      </c>
      <c r="I6" s="194">
        <v>2326397.21</v>
      </c>
      <c r="J6" s="482">
        <v>87660</v>
      </c>
      <c r="K6" s="433">
        <v>79531.76</v>
      </c>
    </row>
    <row r="7" spans="1:11" ht="30" customHeight="1">
      <c r="A7" s="35">
        <v>900</v>
      </c>
      <c r="B7" s="35">
        <v>90017</v>
      </c>
      <c r="C7" s="39" t="s">
        <v>64</v>
      </c>
      <c r="D7" s="194">
        <v>41696.55</v>
      </c>
      <c r="E7" s="194">
        <v>41696.55</v>
      </c>
      <c r="F7" s="194">
        <v>2183420.45</v>
      </c>
      <c r="G7" s="194">
        <v>2179841.45</v>
      </c>
      <c r="H7" s="194">
        <v>2157317</v>
      </c>
      <c r="I7" s="194">
        <v>2179527.81</v>
      </c>
      <c r="J7" s="482">
        <v>67800</v>
      </c>
      <c r="K7" s="433">
        <v>42010.19</v>
      </c>
    </row>
    <row r="8" spans="1:11" ht="30" customHeight="1">
      <c r="A8" s="35">
        <v>700</v>
      </c>
      <c r="B8" s="35">
        <v>70001</v>
      </c>
      <c r="C8" s="39" t="s">
        <v>65</v>
      </c>
      <c r="D8" s="194">
        <v>10000</v>
      </c>
      <c r="E8" s="194">
        <v>-34221.25</v>
      </c>
      <c r="F8" s="194">
        <v>1595329</v>
      </c>
      <c r="G8" s="194">
        <v>1320794.19</v>
      </c>
      <c r="H8" s="194">
        <v>1564929</v>
      </c>
      <c r="I8" s="194">
        <v>1551793.37</v>
      </c>
      <c r="J8" s="482">
        <v>40500</v>
      </c>
      <c r="K8" s="433">
        <v>-265220.43</v>
      </c>
    </row>
    <row r="9" spans="1:11" s="144" customFormat="1" ht="24" customHeight="1">
      <c r="A9" s="519" t="s">
        <v>67</v>
      </c>
      <c r="B9" s="529"/>
      <c r="C9" s="520"/>
      <c r="D9" s="195">
        <f aca="true" t="shared" si="0" ref="D9:J9">SUM(D5:D8)</f>
        <v>240102.55</v>
      </c>
      <c r="E9" s="195">
        <f>E5+E6+E7+E8</f>
        <v>196513.3</v>
      </c>
      <c r="F9" s="195">
        <f t="shared" si="0"/>
        <v>10194344.45</v>
      </c>
      <c r="G9" s="195">
        <f>G5+G6+G7+G8</f>
        <v>9800334.43</v>
      </c>
      <c r="H9" s="195">
        <f t="shared" si="0"/>
        <v>10135587</v>
      </c>
      <c r="I9" s="195">
        <f>I5+I6+I7+I8</f>
        <v>10052627.600000001</v>
      </c>
      <c r="J9" s="483">
        <f t="shared" si="0"/>
        <v>298960</v>
      </c>
      <c r="K9" s="434">
        <f>K5+K6+K7+K8</f>
        <v>-55779.869999999995</v>
      </c>
    </row>
    <row r="10" spans="1:10" ht="24" customHeight="1">
      <c r="A10" s="2"/>
      <c r="B10" s="2"/>
      <c r="C10" s="9"/>
      <c r="D10" s="10"/>
      <c r="E10" s="10"/>
      <c r="F10" s="10"/>
      <c r="G10" s="10"/>
      <c r="H10" s="10"/>
      <c r="I10" s="10"/>
      <c r="J10" s="10"/>
    </row>
    <row r="11" spans="1:10" ht="24" customHeight="1">
      <c r="A11" s="2"/>
      <c r="B11" s="2"/>
      <c r="C11" s="9"/>
      <c r="D11" s="10"/>
      <c r="E11" s="10"/>
      <c r="F11" s="10"/>
      <c r="G11" s="10"/>
      <c r="H11" s="10"/>
      <c r="I11" s="10"/>
      <c r="J11" s="10"/>
    </row>
    <row r="12" spans="1:10" ht="21.75" customHeight="1">
      <c r="A12" s="2"/>
      <c r="B12" s="2"/>
      <c r="C12" s="9"/>
      <c r="D12" s="10"/>
      <c r="E12" s="10"/>
      <c r="F12" s="10"/>
      <c r="G12" s="10"/>
      <c r="H12" s="10"/>
      <c r="I12" s="10"/>
      <c r="J12" s="10"/>
    </row>
    <row r="13" spans="1:3" ht="12.75" customHeight="1">
      <c r="A13" s="2"/>
      <c r="B13" s="2"/>
      <c r="C13" s="9"/>
    </row>
    <row r="14" spans="1:3" ht="44.25" customHeight="1">
      <c r="A14" s="2"/>
      <c r="B14" s="2"/>
      <c r="C14" s="9"/>
    </row>
    <row r="15" ht="16.5" customHeight="1">
      <c r="C15" s="8"/>
    </row>
    <row r="16" ht="21" customHeight="1">
      <c r="C16" s="8"/>
    </row>
    <row r="17" ht="12.75" customHeight="1">
      <c r="C17" s="8"/>
    </row>
    <row r="18" ht="19.5" customHeight="1">
      <c r="C18" s="8"/>
    </row>
    <row r="19" ht="18" customHeight="1">
      <c r="C19" s="8"/>
    </row>
    <row r="20" ht="12.75" customHeight="1">
      <c r="C20" s="8"/>
    </row>
    <row r="21" ht="18" customHeight="1">
      <c r="C21" s="8"/>
    </row>
    <row r="22" ht="12.75" customHeight="1"/>
    <row r="23" ht="12.75" customHeight="1"/>
    <row r="24" ht="22.5" customHeight="1"/>
    <row r="25" ht="27" customHeight="1"/>
    <row r="26" ht="21" customHeight="1"/>
    <row r="27" ht="18" customHeight="1"/>
    <row r="28" ht="12.75" customHeight="1"/>
    <row r="29" ht="12.75" customHeight="1"/>
    <row r="30" ht="21" customHeight="1"/>
    <row r="31" ht="18.75" customHeight="1"/>
    <row r="32" ht="12.75" customHeight="1"/>
    <row r="33" ht="19.5" customHeight="1"/>
    <row r="34" ht="20.25" customHeight="1"/>
    <row r="35" ht="12.75" customHeight="1"/>
  </sheetData>
  <mergeCells count="10">
    <mergeCell ref="A1:K1"/>
    <mergeCell ref="A2:K2"/>
    <mergeCell ref="D3:E3"/>
    <mergeCell ref="F3:G3"/>
    <mergeCell ref="H3:I3"/>
    <mergeCell ref="J3:K3"/>
    <mergeCell ref="A9:C9"/>
    <mergeCell ref="C3:C4"/>
    <mergeCell ref="A3:A4"/>
    <mergeCell ref="B3:B4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D10" sqref="D10"/>
    </sheetView>
  </sheetViews>
  <sheetFormatPr defaultColWidth="9.00390625" defaultRowHeight="12.75"/>
  <cols>
    <col min="1" max="1" width="7.25390625" style="0" customWidth="1"/>
    <col min="2" max="2" width="50.625" style="0" customWidth="1"/>
    <col min="3" max="3" width="12.875" style="0" customWidth="1"/>
    <col min="4" max="4" width="12.625" style="0" customWidth="1"/>
  </cols>
  <sheetData>
    <row r="1" spans="1:4" ht="21.75" customHeight="1">
      <c r="A1" s="509" t="s">
        <v>399</v>
      </c>
      <c r="B1" s="509"/>
      <c r="C1" s="509"/>
      <c r="D1" s="509"/>
    </row>
    <row r="2" spans="1:4" ht="60.75" customHeight="1">
      <c r="A2" s="484" t="s">
        <v>400</v>
      </c>
      <c r="B2" s="484"/>
      <c r="C2" s="484"/>
      <c r="D2" s="484"/>
    </row>
    <row r="3" spans="1:4" ht="24" customHeight="1">
      <c r="A3" s="453" t="s">
        <v>317</v>
      </c>
      <c r="B3" s="454" t="s">
        <v>0</v>
      </c>
      <c r="C3" s="278" t="s">
        <v>100</v>
      </c>
      <c r="D3" s="278" t="s">
        <v>101</v>
      </c>
    </row>
    <row r="4" spans="1:4" ht="30.75" customHeight="1">
      <c r="A4" s="453" t="s">
        <v>378</v>
      </c>
      <c r="B4" s="455" t="s">
        <v>379</v>
      </c>
      <c r="C4" s="477">
        <v>32000</v>
      </c>
      <c r="D4" s="381">
        <v>55800.92</v>
      </c>
    </row>
    <row r="5" spans="1:4" ht="20.25" customHeight="1">
      <c r="A5" s="456" t="s">
        <v>380</v>
      </c>
      <c r="B5" s="457" t="s">
        <v>381</v>
      </c>
      <c r="C5" s="469">
        <f>C6+C7+C8</f>
        <v>752600</v>
      </c>
      <c r="D5" s="218">
        <f>D6+D7+D8</f>
        <v>759973.05</v>
      </c>
    </row>
    <row r="6" spans="1:4" ht="47.25" customHeight="1">
      <c r="A6" s="240" t="s">
        <v>319</v>
      </c>
      <c r="B6" s="419" t="s">
        <v>382</v>
      </c>
      <c r="C6" s="470">
        <v>35000</v>
      </c>
      <c r="D6" s="389">
        <v>47141.38</v>
      </c>
    </row>
    <row r="7" spans="1:4" ht="24" customHeight="1">
      <c r="A7" s="240" t="s">
        <v>320</v>
      </c>
      <c r="B7" s="419" t="s">
        <v>383</v>
      </c>
      <c r="C7" s="470">
        <v>717600</v>
      </c>
      <c r="D7" s="389">
        <v>712609.8</v>
      </c>
    </row>
    <row r="8" spans="1:4" ht="24" customHeight="1">
      <c r="A8" s="240" t="s">
        <v>321</v>
      </c>
      <c r="B8" s="419" t="s">
        <v>401</v>
      </c>
      <c r="C8" s="470"/>
      <c r="D8" s="389">
        <v>221.87</v>
      </c>
    </row>
    <row r="9" spans="1:4" s="140" customFormat="1" ht="30.75" customHeight="1">
      <c r="A9" s="458"/>
      <c r="B9" s="459" t="s">
        <v>67</v>
      </c>
      <c r="C9" s="471">
        <f>C4+C5</f>
        <v>784600</v>
      </c>
      <c r="D9" s="474">
        <f>D4+D5</f>
        <v>815773.9700000001</v>
      </c>
    </row>
    <row r="10" spans="1:4" ht="24" customHeight="1">
      <c r="A10" s="336" t="s">
        <v>384</v>
      </c>
      <c r="B10" s="418" t="s">
        <v>13</v>
      </c>
      <c r="C10" s="472">
        <f>C11+C12+C13+C20+C21</f>
        <v>782600</v>
      </c>
      <c r="D10" s="381">
        <f>D11+D12+D13+D20+D21</f>
        <v>748863.91</v>
      </c>
    </row>
    <row r="11" spans="1:4" ht="39" customHeight="1">
      <c r="A11" s="240" t="s">
        <v>319</v>
      </c>
      <c r="B11" s="419" t="s">
        <v>385</v>
      </c>
      <c r="C11" s="470">
        <v>5000</v>
      </c>
      <c r="D11" s="389">
        <v>645.61</v>
      </c>
    </row>
    <row r="12" spans="1:4" ht="37.5" customHeight="1">
      <c r="A12" s="240" t="s">
        <v>320</v>
      </c>
      <c r="B12" s="419" t="s">
        <v>386</v>
      </c>
      <c r="C12" s="470">
        <v>3000</v>
      </c>
      <c r="D12" s="389"/>
    </row>
    <row r="13" spans="1:4" ht="36.75" customHeight="1">
      <c r="A13" s="240" t="s">
        <v>321</v>
      </c>
      <c r="B13" s="419" t="s">
        <v>387</v>
      </c>
      <c r="C13" s="470">
        <f>C14+C15+C16+C17+C18+C19</f>
        <v>747600</v>
      </c>
      <c r="D13" s="389">
        <f>D14+D15+D16+D17+D18+D19</f>
        <v>726260.37</v>
      </c>
    </row>
    <row r="14" spans="1:4" ht="28.5" customHeight="1">
      <c r="A14" s="478" t="s">
        <v>402</v>
      </c>
      <c r="B14" s="479" t="s">
        <v>408</v>
      </c>
      <c r="C14" s="480">
        <v>180000</v>
      </c>
      <c r="D14" s="481">
        <v>177518.25</v>
      </c>
    </row>
    <row r="15" spans="1:4" ht="28.5" customHeight="1">
      <c r="A15" s="478" t="s">
        <v>403</v>
      </c>
      <c r="B15" s="479" t="s">
        <v>409</v>
      </c>
      <c r="C15" s="480">
        <v>20000</v>
      </c>
      <c r="D15" s="481">
        <v>21220</v>
      </c>
    </row>
    <row r="16" spans="1:4" ht="28.5" customHeight="1">
      <c r="A16" s="478" t="s">
        <v>404</v>
      </c>
      <c r="B16" s="479" t="s">
        <v>410</v>
      </c>
      <c r="C16" s="480">
        <v>148750</v>
      </c>
      <c r="D16" s="481">
        <v>136231.76</v>
      </c>
    </row>
    <row r="17" spans="1:4" ht="28.5" customHeight="1">
      <c r="A17" s="478" t="s">
        <v>405</v>
      </c>
      <c r="B17" s="479" t="s">
        <v>411</v>
      </c>
      <c r="C17" s="480">
        <v>150000</v>
      </c>
      <c r="D17" s="481">
        <v>155418.34</v>
      </c>
    </row>
    <row r="18" spans="1:4" ht="28.5" customHeight="1">
      <c r="A18" s="478" t="s">
        <v>406</v>
      </c>
      <c r="B18" s="479" t="s">
        <v>68</v>
      </c>
      <c r="C18" s="480">
        <v>213850</v>
      </c>
      <c r="D18" s="481">
        <v>189827.97</v>
      </c>
    </row>
    <row r="19" spans="1:4" ht="36.75" customHeight="1">
      <c r="A19" s="478" t="s">
        <v>407</v>
      </c>
      <c r="B19" s="479" t="s">
        <v>412</v>
      </c>
      <c r="C19" s="480">
        <v>35000</v>
      </c>
      <c r="D19" s="481">
        <v>46044.05</v>
      </c>
    </row>
    <row r="20" spans="1:4" ht="21.75" customHeight="1">
      <c r="A20" s="240" t="s">
        <v>322</v>
      </c>
      <c r="B20" s="419" t="s">
        <v>388</v>
      </c>
      <c r="C20" s="470">
        <v>10000</v>
      </c>
      <c r="D20" s="389">
        <v>18729.04</v>
      </c>
    </row>
    <row r="21" spans="1:4" ht="23.25" customHeight="1">
      <c r="A21" s="240" t="s">
        <v>323</v>
      </c>
      <c r="B21" s="419" t="s">
        <v>389</v>
      </c>
      <c r="C21" s="470">
        <v>17000</v>
      </c>
      <c r="D21" s="389">
        <v>3228.89</v>
      </c>
    </row>
    <row r="22" spans="1:4" ht="22.5" customHeight="1">
      <c r="A22" s="240" t="s">
        <v>390</v>
      </c>
      <c r="B22" s="419" t="s">
        <v>391</v>
      </c>
      <c r="C22" s="470">
        <v>2000</v>
      </c>
      <c r="D22" s="389">
        <v>66910.06</v>
      </c>
    </row>
    <row r="23" spans="1:4" s="140" customFormat="1" ht="30.75" customHeight="1">
      <c r="A23" s="458"/>
      <c r="B23" s="459" t="s">
        <v>67</v>
      </c>
      <c r="C23" s="471">
        <f>C10+C22</f>
        <v>784600</v>
      </c>
      <c r="D23" s="474">
        <f>D10+D22</f>
        <v>815773.97</v>
      </c>
    </row>
    <row r="24" spans="1:4" ht="15.75" customHeight="1">
      <c r="A24" s="460"/>
      <c r="B24" s="461"/>
      <c r="C24" s="473"/>
      <c r="D24" s="475"/>
    </row>
    <row r="25" spans="1:4" ht="12.75">
      <c r="A25" s="460"/>
      <c r="B25" s="461"/>
      <c r="C25" s="280"/>
      <c r="D25" s="476"/>
    </row>
    <row r="26" spans="1:4" ht="12.75">
      <c r="A26" s="460"/>
      <c r="B26" s="461"/>
      <c r="C26" s="280"/>
      <c r="D26" s="476"/>
    </row>
    <row r="27" spans="1:3" ht="12.75">
      <c r="A27" s="7"/>
      <c r="B27" s="2"/>
      <c r="C27" s="6"/>
    </row>
    <row r="28" spans="1:3" ht="12.75">
      <c r="A28" s="7"/>
      <c r="B28" s="2"/>
      <c r="C28" s="6"/>
    </row>
    <row r="29" spans="1:3" ht="12.75">
      <c r="A29" s="7"/>
      <c r="B29" s="2"/>
      <c r="C29" s="6"/>
    </row>
    <row r="30" spans="1:3" ht="12.75">
      <c r="A30" s="7"/>
      <c r="B30" s="2"/>
      <c r="C30" s="6"/>
    </row>
    <row r="31" spans="1:3" ht="12.75">
      <c r="A31" s="7"/>
      <c r="B31" s="2"/>
      <c r="C31" s="6"/>
    </row>
    <row r="32" spans="1:3" ht="12.75">
      <c r="A32" s="7"/>
      <c r="B32" s="2"/>
      <c r="C32" s="6"/>
    </row>
    <row r="33" spans="1:3" ht="12.75">
      <c r="A33" s="7"/>
      <c r="B33" s="2"/>
      <c r="C33" s="6"/>
    </row>
    <row r="34" spans="1:3" ht="12.75">
      <c r="A34" s="7"/>
      <c r="B34" s="2"/>
      <c r="C34" s="6"/>
    </row>
    <row r="35" spans="1:3" ht="12.75">
      <c r="A35" s="7"/>
      <c r="B35" s="2"/>
      <c r="C35" s="6"/>
    </row>
    <row r="36" spans="1:3" ht="12.75">
      <c r="A36" s="7"/>
      <c r="B36" s="2"/>
      <c r="C36" s="6"/>
    </row>
    <row r="37" spans="1:3" ht="12.75">
      <c r="A37" s="281"/>
      <c r="B37" s="2"/>
      <c r="C37" s="6"/>
    </row>
    <row r="38" spans="1:3" ht="12.75">
      <c r="A38" s="281"/>
      <c r="B38" s="2"/>
      <c r="C38" s="6"/>
    </row>
    <row r="39" spans="1:3" ht="12.75">
      <c r="A39" s="281"/>
      <c r="B39" s="2"/>
      <c r="C39" s="6"/>
    </row>
    <row r="40" spans="1:3" ht="12.75">
      <c r="A40" s="281"/>
      <c r="B40" s="2"/>
      <c r="C40" s="6"/>
    </row>
    <row r="41" spans="1:3" ht="12.75">
      <c r="A41" s="281"/>
      <c r="B41" s="2"/>
      <c r="C41" s="6"/>
    </row>
    <row r="42" spans="1:3" ht="12.75">
      <c r="A42" s="281"/>
      <c r="B42" s="2"/>
      <c r="C42" s="6"/>
    </row>
    <row r="43" spans="1:3" ht="12.75">
      <c r="A43" s="281"/>
      <c r="B43" s="2"/>
      <c r="C43" s="6"/>
    </row>
    <row r="44" spans="1:3" ht="12.75">
      <c r="A44" s="281"/>
      <c r="B44" s="2"/>
      <c r="C44" s="6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</sheetData>
  <mergeCells count="2">
    <mergeCell ref="A2:D2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B22" sqref="B22"/>
    </sheetView>
  </sheetViews>
  <sheetFormatPr defaultColWidth="9.00390625" defaultRowHeight="12.75"/>
  <cols>
    <col min="1" max="1" width="14.375" style="0" customWidth="1"/>
    <col min="2" max="2" width="50.625" style="0" customWidth="1"/>
    <col min="3" max="3" width="32.00390625" style="0" customWidth="1"/>
    <col min="4" max="4" width="14.625" style="0" customWidth="1"/>
    <col min="5" max="5" width="15.25390625" style="0" customWidth="1"/>
    <col min="6" max="6" width="13.875" style="0" customWidth="1"/>
    <col min="7" max="7" width="14.875" style="0" customWidth="1"/>
    <col min="8" max="8" width="17.625" style="0" customWidth="1"/>
  </cols>
  <sheetData>
    <row r="1" spans="1:5" ht="16.5" customHeight="1">
      <c r="A1" s="509" t="s">
        <v>224</v>
      </c>
      <c r="B1" s="509"/>
      <c r="C1" s="509"/>
      <c r="D1" s="509"/>
      <c r="E1" s="509"/>
    </row>
    <row r="2" spans="1:5" ht="35.25" customHeight="1">
      <c r="A2" s="535" t="s">
        <v>369</v>
      </c>
      <c r="B2" s="535"/>
      <c r="C2" s="535"/>
      <c r="D2" s="535"/>
      <c r="E2" s="535"/>
    </row>
    <row r="3" spans="1:8" s="7" customFormat="1" ht="36" customHeight="1">
      <c r="A3" s="12" t="s">
        <v>52</v>
      </c>
      <c r="B3" s="178" t="s">
        <v>175</v>
      </c>
      <c r="C3" s="12" t="s">
        <v>176</v>
      </c>
      <c r="D3" s="12" t="s">
        <v>104</v>
      </c>
      <c r="E3" s="179" t="s">
        <v>101</v>
      </c>
      <c r="F3" s="131"/>
      <c r="G3" s="131"/>
      <c r="H3" s="131"/>
    </row>
    <row r="4" spans="1:5" s="26" customFormat="1" ht="27.75" customHeight="1">
      <c r="A4" s="12">
        <v>801</v>
      </c>
      <c r="B4" s="180" t="s">
        <v>7</v>
      </c>
      <c r="C4" s="132"/>
      <c r="D4" s="208">
        <f>D5+D7</f>
        <v>137471</v>
      </c>
      <c r="E4" s="208">
        <f>E5+E7</f>
        <v>137328</v>
      </c>
    </row>
    <row r="5" spans="1:5" s="61" customFormat="1" ht="24.75" customHeight="1">
      <c r="A5" s="40">
        <v>80104</v>
      </c>
      <c r="B5" s="181" t="s">
        <v>34</v>
      </c>
      <c r="C5" s="133"/>
      <c r="D5" s="31">
        <f>D6</f>
        <v>126471</v>
      </c>
      <c r="E5" s="31">
        <f>E6</f>
        <v>126471</v>
      </c>
    </row>
    <row r="6" spans="1:5" s="26" customFormat="1" ht="35.25" customHeight="1">
      <c r="A6" s="23"/>
      <c r="B6" s="182" t="s">
        <v>214</v>
      </c>
      <c r="C6" s="231" t="s">
        <v>252</v>
      </c>
      <c r="D6" s="32">
        <v>126471</v>
      </c>
      <c r="E6" s="32">
        <v>126471</v>
      </c>
    </row>
    <row r="7" spans="1:5" s="61" customFormat="1" ht="22.5" customHeight="1">
      <c r="A7" s="40">
        <v>80113</v>
      </c>
      <c r="B7" s="181" t="s">
        <v>36</v>
      </c>
      <c r="C7" s="133"/>
      <c r="D7" s="31">
        <f>D8</f>
        <v>11000</v>
      </c>
      <c r="E7" s="31">
        <f>E8</f>
        <v>10857</v>
      </c>
    </row>
    <row r="8" spans="1:5" s="26" customFormat="1" ht="43.5" customHeight="1">
      <c r="A8" s="23"/>
      <c r="B8" s="199" t="s">
        <v>209</v>
      </c>
      <c r="C8" s="231" t="s">
        <v>245</v>
      </c>
      <c r="D8" s="32">
        <v>11000</v>
      </c>
      <c r="E8" s="32">
        <v>10857</v>
      </c>
    </row>
    <row r="9" spans="1:5" s="34" customFormat="1" ht="25.5" customHeight="1">
      <c r="A9" s="203">
        <v>851</v>
      </c>
      <c r="B9" s="205" t="s">
        <v>37</v>
      </c>
      <c r="C9" s="207"/>
      <c r="D9" s="208">
        <f>D10+D12</f>
        <v>25000</v>
      </c>
      <c r="E9" s="208">
        <f>E10+E12</f>
        <v>23000</v>
      </c>
    </row>
    <row r="10" spans="1:5" s="21" customFormat="1" ht="27.75" customHeight="1">
      <c r="A10" s="204">
        <v>85153</v>
      </c>
      <c r="B10" s="206" t="s">
        <v>38</v>
      </c>
      <c r="C10" s="211"/>
      <c r="D10" s="31">
        <f>D11</f>
        <v>4000</v>
      </c>
      <c r="E10" s="31">
        <f>E11</f>
        <v>4000</v>
      </c>
    </row>
    <row r="11" spans="1:5" s="26" customFormat="1" ht="53.25" customHeight="1">
      <c r="A11" s="23"/>
      <c r="B11" s="199" t="s">
        <v>225</v>
      </c>
      <c r="C11" s="231" t="s">
        <v>242</v>
      </c>
      <c r="D11" s="32">
        <v>4000</v>
      </c>
      <c r="E11" s="32">
        <v>4000</v>
      </c>
    </row>
    <row r="12" spans="1:5" s="21" customFormat="1" ht="27" customHeight="1">
      <c r="A12" s="204">
        <v>85154</v>
      </c>
      <c r="B12" s="206" t="s">
        <v>39</v>
      </c>
      <c r="C12" s="211"/>
      <c r="D12" s="31">
        <f>D13+D14+D15+D16+D17+D18+D19</f>
        <v>21000</v>
      </c>
      <c r="E12" s="31">
        <f>E13+E14+E15+E16+E17+E18+E19</f>
        <v>19000</v>
      </c>
    </row>
    <row r="13" spans="1:5" s="26" customFormat="1" ht="42.75" customHeight="1">
      <c r="A13" s="23"/>
      <c r="B13" s="539" t="s">
        <v>253</v>
      </c>
      <c r="C13" s="231" t="s">
        <v>261</v>
      </c>
      <c r="D13" s="32">
        <v>3000</v>
      </c>
      <c r="E13" s="32">
        <f>3000</f>
        <v>3000</v>
      </c>
    </row>
    <row r="14" spans="1:5" s="26" customFormat="1" ht="26.25" customHeight="1">
      <c r="A14" s="24"/>
      <c r="B14" s="542"/>
      <c r="C14" s="232" t="s">
        <v>250</v>
      </c>
      <c r="D14" s="33">
        <v>2000</v>
      </c>
      <c r="E14" s="33">
        <v>0</v>
      </c>
    </row>
    <row r="15" spans="1:5" s="26" customFormat="1" ht="36.75" customHeight="1">
      <c r="A15" s="536"/>
      <c r="B15" s="538" t="s">
        <v>226</v>
      </c>
      <c r="C15" s="246" t="s">
        <v>247</v>
      </c>
      <c r="D15" s="208">
        <v>3000</v>
      </c>
      <c r="E15" s="241">
        <v>3000</v>
      </c>
    </row>
    <row r="16" spans="1:5" s="26" customFormat="1" ht="35.25" customHeight="1">
      <c r="A16" s="537"/>
      <c r="B16" s="539"/>
      <c r="C16" s="231" t="s">
        <v>248</v>
      </c>
      <c r="D16" s="32">
        <v>3000</v>
      </c>
      <c r="E16" s="32">
        <v>3000</v>
      </c>
    </row>
    <row r="17" spans="1:5" s="26" customFormat="1" ht="30" customHeight="1">
      <c r="A17" s="23"/>
      <c r="B17" s="539" t="s">
        <v>241</v>
      </c>
      <c r="C17" s="240"/>
      <c r="D17" s="32">
        <v>2500</v>
      </c>
      <c r="E17" s="32">
        <v>2500</v>
      </c>
    </row>
    <row r="18" spans="1:5" s="26" customFormat="1" ht="44.25" customHeight="1">
      <c r="A18" s="23"/>
      <c r="B18" s="539"/>
      <c r="C18" s="231" t="s">
        <v>249</v>
      </c>
      <c r="D18" s="32">
        <v>2500</v>
      </c>
      <c r="E18" s="32">
        <v>2500</v>
      </c>
    </row>
    <row r="19" spans="1:5" s="26" customFormat="1" ht="42" customHeight="1">
      <c r="A19" s="24"/>
      <c r="B19" s="177" t="s">
        <v>238</v>
      </c>
      <c r="C19" s="247" t="s">
        <v>243</v>
      </c>
      <c r="D19" s="33">
        <v>5000</v>
      </c>
      <c r="E19" s="33">
        <v>5000</v>
      </c>
    </row>
    <row r="20" spans="1:5" s="26" customFormat="1" ht="21.75" customHeight="1">
      <c r="A20" s="12">
        <v>852</v>
      </c>
      <c r="B20" s="236" t="s">
        <v>8</v>
      </c>
      <c r="C20" s="132"/>
      <c r="D20" s="242">
        <f>D21</f>
        <v>68500</v>
      </c>
      <c r="E20" s="208">
        <f>E21</f>
        <v>52500</v>
      </c>
    </row>
    <row r="21" spans="1:5" s="21" customFormat="1" ht="17.25" customHeight="1">
      <c r="A21" s="204">
        <v>85295</v>
      </c>
      <c r="B21" s="234" t="s">
        <v>20</v>
      </c>
      <c r="C21" s="211"/>
      <c r="D21" s="235">
        <f>D22+D23+D24</f>
        <v>68500</v>
      </c>
      <c r="E21" s="31">
        <f>E22+E23+E24</f>
        <v>52500</v>
      </c>
    </row>
    <row r="22" spans="1:5" s="198" customFormat="1" ht="56.25" customHeight="1">
      <c r="A22" s="209"/>
      <c r="B22" s="237" t="s">
        <v>239</v>
      </c>
      <c r="C22" s="231" t="s">
        <v>260</v>
      </c>
      <c r="D22" s="243">
        <v>10000</v>
      </c>
      <c r="E22" s="32">
        <v>2500</v>
      </c>
    </row>
    <row r="23" spans="1:5" s="198" customFormat="1" ht="38.25" customHeight="1">
      <c r="A23" s="209"/>
      <c r="B23" s="237" t="s">
        <v>240</v>
      </c>
      <c r="C23" s="231" t="s">
        <v>246</v>
      </c>
      <c r="D23" s="243">
        <v>50000</v>
      </c>
      <c r="E23" s="32">
        <v>50000</v>
      </c>
    </row>
    <row r="24" spans="1:5" s="198" customFormat="1" ht="26.25" customHeight="1">
      <c r="A24" s="196"/>
      <c r="B24" s="238" t="s">
        <v>227</v>
      </c>
      <c r="C24" s="239" t="s">
        <v>250</v>
      </c>
      <c r="D24" s="244">
        <v>8500</v>
      </c>
      <c r="E24" s="33">
        <v>0</v>
      </c>
    </row>
    <row r="25" spans="1:5" s="34" customFormat="1" ht="25.5" customHeight="1">
      <c r="A25" s="203">
        <v>921</v>
      </c>
      <c r="B25" s="205" t="s">
        <v>47</v>
      </c>
      <c r="C25" s="207"/>
      <c r="D25" s="208">
        <f>D26</f>
        <v>10000</v>
      </c>
      <c r="E25" s="208">
        <f>E26</f>
        <v>8000</v>
      </c>
    </row>
    <row r="26" spans="1:5" s="21" customFormat="1" ht="30" customHeight="1">
      <c r="A26" s="204">
        <v>92105</v>
      </c>
      <c r="B26" s="206" t="s">
        <v>95</v>
      </c>
      <c r="C26" s="211"/>
      <c r="D26" s="31">
        <f>D27+D28</f>
        <v>10000</v>
      </c>
      <c r="E26" s="31">
        <f>E27+E28</f>
        <v>8000</v>
      </c>
    </row>
    <row r="27" spans="1:5" s="198" customFormat="1" ht="33" customHeight="1">
      <c r="A27" s="209"/>
      <c r="B27" s="210" t="s">
        <v>228</v>
      </c>
      <c r="C27" s="231" t="s">
        <v>251</v>
      </c>
      <c r="D27" s="32">
        <v>8000</v>
      </c>
      <c r="E27" s="32">
        <v>8000</v>
      </c>
    </row>
    <row r="28" spans="1:5" s="198" customFormat="1" ht="24" customHeight="1">
      <c r="A28" s="196"/>
      <c r="B28" s="197" t="s">
        <v>229</v>
      </c>
      <c r="C28" s="239" t="s">
        <v>250</v>
      </c>
      <c r="D28" s="33">
        <v>2000</v>
      </c>
      <c r="E28" s="33">
        <v>0</v>
      </c>
    </row>
    <row r="29" spans="1:5" s="34" customFormat="1" ht="24.75" customHeight="1">
      <c r="A29" s="203">
        <v>926</v>
      </c>
      <c r="B29" s="205" t="s">
        <v>10</v>
      </c>
      <c r="C29" s="207"/>
      <c r="D29" s="208">
        <f>D30</f>
        <v>60000</v>
      </c>
      <c r="E29" s="208">
        <f>E30</f>
        <v>60000</v>
      </c>
    </row>
    <row r="30" spans="1:5" s="21" customFormat="1" ht="29.25" customHeight="1">
      <c r="A30" s="204">
        <v>92605</v>
      </c>
      <c r="B30" s="206" t="s">
        <v>51</v>
      </c>
      <c r="C30" s="233"/>
      <c r="D30" s="31">
        <f>D31+D32+D33</f>
        <v>60000</v>
      </c>
      <c r="E30" s="31">
        <f>E31+E32+E33</f>
        <v>60000</v>
      </c>
    </row>
    <row r="31" spans="1:5" s="21" customFormat="1" ht="32.25" customHeight="1">
      <c r="A31" s="204"/>
      <c r="B31" s="539" t="s">
        <v>230</v>
      </c>
      <c r="C31" s="231" t="s">
        <v>263</v>
      </c>
      <c r="D31" s="32">
        <v>20000</v>
      </c>
      <c r="E31" s="32">
        <v>20000</v>
      </c>
    </row>
    <row r="32" spans="1:5" s="21" customFormat="1" ht="32.25" customHeight="1">
      <c r="A32" s="204"/>
      <c r="B32" s="539"/>
      <c r="C32" s="231" t="s">
        <v>254</v>
      </c>
      <c r="D32" s="32">
        <v>20000</v>
      </c>
      <c r="E32" s="32">
        <v>20000</v>
      </c>
    </row>
    <row r="33" spans="1:5" s="26" customFormat="1" ht="32.25" customHeight="1">
      <c r="A33" s="24"/>
      <c r="B33" s="542"/>
      <c r="C33" s="247" t="s">
        <v>262</v>
      </c>
      <c r="D33" s="33">
        <v>20000</v>
      </c>
      <c r="E33" s="33">
        <v>20000</v>
      </c>
    </row>
    <row r="34" spans="1:5" s="61" customFormat="1" ht="24" customHeight="1">
      <c r="A34" s="540" t="s">
        <v>177</v>
      </c>
      <c r="B34" s="541"/>
      <c r="C34" s="541"/>
      <c r="D34" s="245">
        <f>D4+D9+D20+D25+D29</f>
        <v>300971</v>
      </c>
      <c r="E34" s="245">
        <f>E4+E9+E20+E25+E29</f>
        <v>280828</v>
      </c>
    </row>
    <row r="35" spans="1:5" s="26" customFormat="1" ht="12.75">
      <c r="A35" s="200"/>
      <c r="B35" s="201"/>
      <c r="C35" s="192"/>
      <c r="D35" s="202"/>
      <c r="E35" s="202"/>
    </row>
    <row r="36" spans="1:5" s="26" customFormat="1" ht="12.75">
      <c r="A36" s="200"/>
      <c r="B36" s="201"/>
      <c r="C36" s="192"/>
      <c r="D36" s="202"/>
      <c r="E36" s="202"/>
    </row>
    <row r="37" spans="1:5" s="26" customFormat="1" ht="12.75">
      <c r="A37" s="134"/>
      <c r="B37" s="145"/>
      <c r="C37" s="136"/>
      <c r="D37" s="137"/>
      <c r="E37" s="137"/>
    </row>
    <row r="38" spans="1:5" s="26" customFormat="1" ht="12.75">
      <c r="A38" s="134"/>
      <c r="B38" s="135"/>
      <c r="C38" s="38"/>
      <c r="D38" s="137"/>
      <c r="E38" s="137"/>
    </row>
    <row r="39" spans="1:5" ht="12.75">
      <c r="A39" s="134"/>
      <c r="B39" s="138"/>
      <c r="C39" s="38"/>
      <c r="D39" s="137"/>
      <c r="E39" s="137"/>
    </row>
    <row r="40" spans="2:5" ht="12.75">
      <c r="B40" s="4"/>
      <c r="D40" s="6"/>
      <c r="E40" s="6"/>
    </row>
    <row r="41" spans="4:5" ht="12.75">
      <c r="D41" s="6"/>
      <c r="E41" s="6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</sheetData>
  <mergeCells count="8">
    <mergeCell ref="A34:C34"/>
    <mergeCell ref="B17:B18"/>
    <mergeCell ref="B31:B33"/>
    <mergeCell ref="B13:B14"/>
    <mergeCell ref="A2:E2"/>
    <mergeCell ref="A1:E1"/>
    <mergeCell ref="A15:A16"/>
    <mergeCell ref="B15:B16"/>
  </mergeCells>
  <printOptions/>
  <pageMargins left="0.9055118110236221" right="0.9055118110236221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13" sqref="B13"/>
    </sheetView>
  </sheetViews>
  <sheetFormatPr defaultColWidth="9.00390625" defaultRowHeight="12.75"/>
  <cols>
    <col min="1" max="1" width="14.625" style="0" customWidth="1"/>
    <col min="2" max="2" width="48.125" style="0" customWidth="1"/>
    <col min="3" max="3" width="14.25390625" style="0" customWidth="1"/>
    <col min="4" max="4" width="54.125" style="0" customWidth="1"/>
  </cols>
  <sheetData>
    <row r="1" spans="1:4" ht="15.75" customHeight="1">
      <c r="A1" s="509" t="s">
        <v>371</v>
      </c>
      <c r="B1" s="509"/>
      <c r="C1" s="509"/>
      <c r="D1" s="509"/>
    </row>
    <row r="2" spans="1:4" s="21" customFormat="1" ht="53.25" customHeight="1">
      <c r="A2" s="547" t="s">
        <v>372</v>
      </c>
      <c r="B2" s="547"/>
      <c r="C2" s="547"/>
      <c r="D2" s="547"/>
    </row>
    <row r="3" spans="1:4" ht="28.5" customHeight="1">
      <c r="A3" s="400" t="s">
        <v>52</v>
      </c>
      <c r="B3" s="400" t="s">
        <v>0</v>
      </c>
      <c r="C3" s="400" t="s">
        <v>11</v>
      </c>
      <c r="D3" s="400" t="s">
        <v>370</v>
      </c>
    </row>
    <row r="4" spans="1:4" s="21" customFormat="1" ht="31.5" customHeight="1">
      <c r="A4" s="462">
        <v>921</v>
      </c>
      <c r="B4" s="463" t="s">
        <v>47</v>
      </c>
      <c r="C4" s="464">
        <f>C5</f>
        <v>5000</v>
      </c>
      <c r="D4" s="549" t="s">
        <v>393</v>
      </c>
    </row>
    <row r="5" spans="1:4" s="20" customFormat="1" ht="22.5" customHeight="1">
      <c r="A5" s="465">
        <v>92105</v>
      </c>
      <c r="B5" s="466" t="s">
        <v>95</v>
      </c>
      <c r="C5" s="467">
        <v>5000</v>
      </c>
      <c r="D5" s="549"/>
    </row>
    <row r="6" spans="1:4" ht="39.75" customHeight="1">
      <c r="A6" s="548" t="s">
        <v>392</v>
      </c>
      <c r="B6" s="548"/>
      <c r="C6" s="548"/>
      <c r="D6" s="548"/>
    </row>
    <row r="7" spans="1:4" s="21" customFormat="1" ht="25.5" customHeight="1">
      <c r="A7" s="462">
        <v>851</v>
      </c>
      <c r="B7" s="463" t="s">
        <v>37</v>
      </c>
      <c r="C7" s="464">
        <f>C8+C9+C10</f>
        <v>737600</v>
      </c>
      <c r="D7" s="463"/>
    </row>
    <row r="8" spans="1:4" s="20" customFormat="1" ht="54.75" customHeight="1">
      <c r="A8" s="543">
        <v>85111</v>
      </c>
      <c r="B8" s="545" t="s">
        <v>203</v>
      </c>
      <c r="C8" s="467">
        <v>5000</v>
      </c>
      <c r="D8" s="468" t="s">
        <v>413</v>
      </c>
    </row>
    <row r="9" spans="1:4" s="20" customFormat="1" ht="45" customHeight="1">
      <c r="A9" s="544"/>
      <c r="B9" s="546"/>
      <c r="C9" s="467">
        <v>712600</v>
      </c>
      <c r="D9" s="468" t="s">
        <v>394</v>
      </c>
    </row>
    <row r="10" spans="1:4" s="20" customFormat="1" ht="45.75" customHeight="1">
      <c r="A10" s="465">
        <v>85195</v>
      </c>
      <c r="B10" s="466" t="s">
        <v>20</v>
      </c>
      <c r="C10" s="467">
        <v>20000</v>
      </c>
      <c r="D10" s="468" t="s">
        <v>395</v>
      </c>
    </row>
  </sheetData>
  <mergeCells count="6">
    <mergeCell ref="A8:A9"/>
    <mergeCell ref="B8:B9"/>
    <mergeCell ref="A1:D1"/>
    <mergeCell ref="A2:D2"/>
    <mergeCell ref="A6:D6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kwiatek</cp:lastModifiedBy>
  <cp:lastPrinted>2007-03-20T11:11:55Z</cp:lastPrinted>
  <dcterms:created xsi:type="dcterms:W3CDTF">1997-02-26T13:46:56Z</dcterms:created>
  <dcterms:modified xsi:type="dcterms:W3CDTF">2007-03-21T07:41:21Z</dcterms:modified>
  <cp:category/>
  <cp:version/>
  <cp:contentType/>
  <cp:contentStatus/>
</cp:coreProperties>
</file>